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purl.oclc.org/ooxml/officeDocument/relationships/extendedProperties" Target="docProps/app.xml"/><Relationship Id="rId2" Type="http://schemas.openxmlformats.org/package/2006/relationships/metadata/core-properties" Target="docProps/core.xml"/><Relationship Id="rId1" Type="http://purl.oclc.org/ooxml/officeDocument/relationships/officeDocument" Target="xl/workbook.xml"/></Relationships>
</file>

<file path=xl/workbook.xml><?xml version="1.0" encoding="utf-8"?>
<workbook xmlns="http://purl.oclc.org/ooxml/spreadsheetml/main" xmlns:r="http://purl.oclc.org/ooxml/officeDocument/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conformance="strict">
  <fileVersion appName="xl" lastEdited="7" lowestEdited="7" rupBuild="24228"/>
  <workbookPr dateCompatibility="0" defaultThemeVersion="124226"/>
  <mc:AlternateContent xmlns:mc="http://schemas.openxmlformats.org/markup-compatibility/2006">
    <mc:Choice Requires="x15">
      <x15ac:absPath xmlns:x15ac="http://schemas.microsoft.com/office/spreadsheetml/2010/11/ac" url="https://cgiar-my.sharepoint.com/personal/k_davis_cgiar_org/Documents/OneCGIAR/Nature Positive/NATURE Plus WP 5 Engage/Work plan and activities Year 1/Ecosystem Service Valuation/"/>
    </mc:Choice>
  </mc:AlternateContent>
  <xr:revisionPtr revIDLastSave="0" documentId="8_{BBF3E902-BE06-41FF-AF0D-669D1B93D96D}" xr6:coauthVersionLast="47" xr6:coauthVersionMax="47" xr10:uidLastSave="{00000000-0000-0000-0000-000000000000}"/>
  <bookViews>
    <workbookView xWindow="-120" yWindow="-120" windowWidth="29040" windowHeight="15840" tabRatio="999" firstSheet="2" activeTab="3" xr2:uid="{00000000-000D-0000-FFFF-FFFF00000000}"/>
  </bookViews>
  <sheets>
    <sheet name="Validation" sheetId="5" r:id="rId1"/>
    <sheet name="Data" sheetId="6" r:id="rId2"/>
    <sheet name="Ecosystem Subservices Values" sheetId="22" r:id="rId3"/>
    <sheet name="Ecosystem Services Values" sheetId="21" r:id="rId4"/>
    <sheet name="Number of Observations ESS" sheetId="23" r:id="rId5"/>
    <sheet name="Number of Observations ES" sheetId="20" r:id="rId6"/>
    <sheet name="CPI" sheetId="19" r:id="rId7"/>
    <sheet name="Exchange rate-Kenya" sheetId="17" r:id="rId8"/>
    <sheet name="Exchange rate- Vietnam" sheetId="18" r:id="rId9"/>
    <sheet name="Variables" sheetId="2" r:id="rId10"/>
  </sheets>
  <definedNames>
    <definedName name="_xlnm._FilterDatabase" localSheetId="1" hidden="1">Data!$A$1:$AP$1574</definedName>
    <definedName name="_xlnm._FilterDatabase" localSheetId="0" hidden="1">Validation!$A$1:$H$1</definedName>
    <definedName name="Selection_for_TEEB_database">#REF!</definedName>
  </definedNames>
  <calcPr calcId="191029"/>
  <extLst>
    <ext xmlns:x14="http://schemas.microsoft.com/office/spreadsheetml/2009/9/main" uri="{79F54976-1DA5-4618-B147-4CDE4B953A38}">
      <x14:workbookPr/>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purl.oclc.org/ooxml/spreadsheetml/main">
  <c r="E31" i="22" l="1"/>
  <c r="E32" i="22"/>
  <c r="E33" i="22"/>
  <c r="E34" i="22"/>
  <c r="F31" i="22"/>
  <c r="F32" i="22"/>
  <c r="F33" i="22"/>
  <c r="F34" i="22"/>
  <c r="E37" i="22"/>
  <c r="E38" i="22"/>
  <c r="E39" i="22"/>
  <c r="F37" i="22"/>
  <c r="F38" i="22"/>
  <c r="F39" i="22"/>
  <c r="F40" i="22"/>
  <c r="E42" i="22"/>
  <c r="E43" i="22"/>
  <c r="E44" i="22"/>
  <c r="F42" i="22"/>
  <c r="F43" i="22"/>
  <c r="F44" i="22"/>
  <c r="E48" i="22"/>
  <c r="E53" i="22"/>
  <c r="F51" i="22"/>
  <c r="F53" i="22"/>
  <c r="F54" i="22"/>
  <c r="F57" i="22"/>
  <c r="F58" i="22"/>
  <c r="F59" i="22"/>
  <c r="E59" i="22"/>
  <c r="E58" i="22"/>
  <c r="E57" i="22"/>
  <c r="E56" i="22"/>
  <c r="E62" i="22"/>
  <c r="E63" i="22"/>
  <c r="F63" i="22"/>
  <c r="F62" i="22"/>
  <c r="F61" i="22"/>
  <c r="F64" i="22"/>
  <c r="E68" i="22"/>
  <c r="E69" i="22"/>
  <c r="E72" i="22"/>
  <c r="F69" i="22"/>
  <c r="B34" i="22"/>
  <c r="B11" i="22"/>
  <c r="C11" i="22"/>
  <c r="D11" i="22"/>
  <c r="B12" i="22"/>
  <c r="C12" i="22"/>
  <c r="D12" i="22"/>
  <c r="C14" i="22"/>
  <c r="C17" i="22"/>
  <c r="C20" i="22"/>
  <c r="C21" i="22"/>
  <c r="C24" i="22"/>
  <c r="C25" i="22"/>
  <c r="D27" i="22"/>
  <c r="C28" i="22"/>
  <c r="B31" i="22"/>
  <c r="C31" i="22"/>
  <c r="D31" i="22"/>
  <c r="B32" i="22"/>
  <c r="C32" i="22"/>
  <c r="D32" i="22"/>
  <c r="B33" i="22"/>
  <c r="C33" i="22"/>
  <c r="D33" i="22"/>
  <c r="C34" i="22"/>
  <c r="D34" i="22"/>
  <c r="B37" i="22"/>
  <c r="C37" i="22"/>
  <c r="D37" i="22"/>
  <c r="B38" i="22"/>
  <c r="C38" i="22"/>
  <c r="D38" i="22"/>
  <c r="B39" i="22"/>
  <c r="C39" i="22"/>
  <c r="D39" i="22"/>
  <c r="B40" i="22"/>
  <c r="C40" i="22"/>
  <c r="D40" i="22"/>
  <c r="B42" i="22"/>
  <c r="C42" i="22"/>
  <c r="D42" i="22"/>
  <c r="B43" i="22"/>
  <c r="C43" i="22"/>
  <c r="D43" i="22"/>
  <c r="B44" i="22"/>
  <c r="C44" i="22"/>
  <c r="D44" i="22"/>
  <c r="B48" i="22"/>
  <c r="C48" i="22"/>
  <c r="D48" i="22"/>
  <c r="D51" i="22"/>
  <c r="C52" i="22"/>
  <c r="B53" i="22"/>
  <c r="C53" i="22"/>
  <c r="D53" i="22"/>
  <c r="D54" i="22"/>
  <c r="C56" i="22"/>
  <c r="B57" i="22"/>
  <c r="C57" i="22"/>
  <c r="D57" i="22"/>
  <c r="B58" i="22"/>
  <c r="C58" i="22"/>
  <c r="D58" i="22"/>
  <c r="B59" i="22"/>
  <c r="C59" i="22"/>
  <c r="D59" i="22"/>
  <c r="D61" i="22"/>
  <c r="B62" i="22"/>
  <c r="C62" i="22"/>
  <c r="D62" i="22"/>
  <c r="B63" i="22"/>
  <c r="C63" i="22"/>
  <c r="D63" i="22"/>
  <c r="D64" i="22"/>
  <c r="C68" i="22"/>
  <c r="B69" i="22"/>
  <c r="C69" i="22"/>
  <c r="D69" i="22"/>
  <c r="C72" i="22"/>
  <c r="C74" i="22"/>
  <c r="B75" i="22"/>
  <c r="C75" i="22"/>
  <c r="D75" i="22"/>
  <c r="B78" i="22"/>
  <c r="C78" i="22"/>
  <c r="D78" i="22"/>
  <c r="C79" i="22"/>
  <c r="B80" i="22"/>
  <c r="C80" i="22"/>
  <c r="D80" i="22"/>
  <c r="C83" i="22"/>
  <c r="D84" i="22"/>
  <c r="B88" i="22"/>
  <c r="C88" i="22"/>
  <c r="D88" i="22"/>
  <c r="C92" i="22"/>
  <c r="C93" i="22"/>
  <c r="B95" i="22"/>
  <c r="C95" i="22"/>
  <c r="D95" i="22"/>
  <c r="B97" i="22"/>
  <c r="C97" i="22"/>
  <c r="D97" i="22"/>
  <c r="B99" i="22"/>
  <c r="C99" i="22"/>
  <c r="D99" i="22"/>
  <c r="C101" i="22"/>
  <c r="C102" i="22"/>
  <c r="B103" i="22"/>
  <c r="C103" i="22"/>
  <c r="D103" i="22"/>
  <c r="C109" i="22"/>
  <c r="C111" i="22"/>
  <c r="C112" i="22"/>
  <c r="B113" i="22"/>
  <c r="C113" i="22"/>
  <c r="D113" i="22"/>
  <c r="B114" i="22"/>
  <c r="C114" i="22"/>
  <c r="D114" i="22"/>
  <c r="B115" i="22"/>
  <c r="C115" i="22"/>
  <c r="D115" i="22"/>
  <c r="B119" i="22"/>
  <c r="C119" i="22"/>
  <c r="D119" i="22"/>
  <c r="D121" i="22"/>
  <c r="C123" i="22"/>
  <c r="D6" i="22"/>
  <c r="D121" i="23"/>
  <c r="C121" i="23"/>
  <c r="B121" i="23"/>
  <c r="D119" i="23"/>
  <c r="C119" i="23"/>
  <c r="B119" i="23"/>
  <c r="D117" i="23"/>
  <c r="C117" i="23"/>
  <c r="B117" i="23"/>
  <c r="D115" i="23"/>
  <c r="C115" i="23"/>
  <c r="B115" i="23"/>
  <c r="B110" i="23"/>
  <c r="C110" i="23"/>
  <c r="D110" i="23"/>
  <c r="B111" i="23"/>
  <c r="C111" i="23"/>
  <c r="D111" i="23"/>
  <c r="B112" i="23"/>
  <c r="C112" i="23"/>
  <c r="D112" i="23"/>
  <c r="B113" i="23"/>
  <c r="C113" i="23"/>
  <c r="D113" i="23"/>
  <c r="D109" i="23"/>
  <c r="C109" i="23"/>
  <c r="B109" i="23"/>
  <c r="D107" i="23"/>
  <c r="C107" i="23"/>
  <c r="B107" i="23"/>
  <c r="B105" i="23"/>
  <c r="D105" i="23"/>
  <c r="C105" i="23"/>
  <c r="D103" i="23"/>
  <c r="C103" i="23"/>
  <c r="B103" i="23"/>
  <c r="B99" i="23"/>
  <c r="C99" i="23"/>
  <c r="D99" i="23"/>
  <c r="B100" i="23"/>
  <c r="C100" i="23"/>
  <c r="D100" i="23"/>
  <c r="B101" i="23"/>
  <c r="C101" i="23"/>
  <c r="D101" i="23"/>
  <c r="B97" i="23"/>
  <c r="C97" i="23"/>
  <c r="D97" i="23"/>
  <c r="B93" i="23"/>
  <c r="C93" i="23"/>
  <c r="D93" i="23"/>
  <c r="B94" i="23"/>
  <c r="C94" i="23"/>
  <c r="D94" i="23"/>
  <c r="B95" i="23"/>
  <c r="C95" i="23"/>
  <c r="D95" i="23"/>
  <c r="F97" i="22" s="1"/>
  <c r="B88" i="23"/>
  <c r="C88" i="23"/>
  <c r="D88" i="23"/>
  <c r="B89" i="23"/>
  <c r="C89" i="23"/>
  <c r="D89" i="23"/>
  <c r="B90" i="23"/>
  <c r="C90" i="23"/>
  <c r="D90" i="23"/>
  <c r="B91" i="23"/>
  <c r="C91" i="23"/>
  <c r="D91" i="23"/>
  <c r="B84" i="23"/>
  <c r="C84" i="23"/>
  <c r="D84" i="23"/>
  <c r="B86" i="23"/>
  <c r="C86" i="23"/>
  <c r="D86" i="23"/>
  <c r="B81" i="23"/>
  <c r="C81" i="23"/>
  <c r="D81" i="23"/>
  <c r="B82" i="23"/>
  <c r="C82" i="23"/>
  <c r="D82" i="23"/>
  <c r="B76" i="23"/>
  <c r="C76" i="23"/>
  <c r="D76" i="23"/>
  <c r="B77" i="23"/>
  <c r="C77" i="23"/>
  <c r="D77" i="23"/>
  <c r="B78" i="23"/>
  <c r="C78" i="23"/>
  <c r="D78" i="23"/>
  <c r="B79" i="23"/>
  <c r="C79" i="23"/>
  <c r="D79" i="23"/>
  <c r="B72" i="23"/>
  <c r="C72" i="23"/>
  <c r="D72" i="23"/>
  <c r="B73" i="23"/>
  <c r="C73" i="23"/>
  <c r="D73" i="23"/>
  <c r="B74" i="23"/>
  <c r="C74" i="23"/>
  <c r="D74" i="23"/>
  <c r="B66" i="23"/>
  <c r="C66" i="23"/>
  <c r="D66" i="23"/>
  <c r="B67" i="23"/>
  <c r="C67" i="23"/>
  <c r="D67" i="23"/>
  <c r="B68" i="23"/>
  <c r="C68" i="23"/>
  <c r="D68" i="23"/>
  <c r="B69" i="23"/>
  <c r="C69" i="23"/>
  <c r="D69" i="23"/>
  <c r="B70" i="23"/>
  <c r="C70" i="23"/>
  <c r="D70" i="23"/>
  <c r="B64" i="23"/>
  <c r="C64" i="23"/>
  <c r="D64" i="23"/>
  <c r="B59" i="23"/>
  <c r="C59" i="23"/>
  <c r="D59" i="23"/>
  <c r="B60" i="23"/>
  <c r="C60" i="23"/>
  <c r="D60" i="23"/>
  <c r="B61" i="23"/>
  <c r="C61" i="23"/>
  <c r="D61" i="23"/>
  <c r="B62" i="23"/>
  <c r="C62" i="23"/>
  <c r="D62" i="23"/>
  <c r="B54" i="23"/>
  <c r="C54" i="23"/>
  <c r="D54" i="23"/>
  <c r="B55" i="23"/>
  <c r="C55" i="23"/>
  <c r="D55" i="23"/>
  <c r="B56" i="23"/>
  <c r="C56" i="23"/>
  <c r="D56" i="23"/>
  <c r="B57" i="23"/>
  <c r="C57" i="23"/>
  <c r="D57" i="23"/>
  <c r="B49" i="23"/>
  <c r="C49" i="23"/>
  <c r="D49" i="23"/>
  <c r="B50" i="23"/>
  <c r="C50" i="23"/>
  <c r="D50" i="23"/>
  <c r="B51" i="23"/>
  <c r="C51" i="23"/>
  <c r="D51" i="23"/>
  <c r="B52" i="23"/>
  <c r="C52" i="23"/>
  <c r="D52" i="23"/>
  <c r="B44" i="23"/>
  <c r="C44" i="23"/>
  <c r="D44" i="23"/>
  <c r="B45" i="23"/>
  <c r="C45" i="23"/>
  <c r="D45" i="23"/>
  <c r="B46" i="23"/>
  <c r="C46" i="23"/>
  <c r="D46" i="23"/>
  <c r="B47" i="23"/>
  <c r="C47" i="23"/>
  <c r="D47" i="23"/>
  <c r="B40" i="23"/>
  <c r="C40" i="23"/>
  <c r="D40" i="23"/>
  <c r="B41" i="23"/>
  <c r="C41" i="23"/>
  <c r="D41" i="23"/>
  <c r="B42" i="23"/>
  <c r="C42" i="23"/>
  <c r="D42" i="23"/>
  <c r="B35" i="23"/>
  <c r="C35" i="23"/>
  <c r="D35" i="23"/>
  <c r="B36" i="23"/>
  <c r="C36" i="23"/>
  <c r="D36" i="23"/>
  <c r="B37" i="23"/>
  <c r="C37" i="23"/>
  <c r="D37" i="23"/>
  <c r="B38" i="23"/>
  <c r="C38" i="23"/>
  <c r="D38" i="23"/>
  <c r="B33" i="23"/>
  <c r="C33" i="23"/>
  <c r="D33" i="23"/>
  <c r="B29" i="23"/>
  <c r="C29" i="23"/>
  <c r="D29" i="23"/>
  <c r="B30" i="23"/>
  <c r="C30" i="23"/>
  <c r="D30" i="23"/>
  <c r="B31" i="23"/>
  <c r="C31" i="23"/>
  <c r="D31" i="23"/>
  <c r="B32" i="23"/>
  <c r="C32" i="23"/>
  <c r="D32" i="23"/>
  <c r="C26" i="23"/>
  <c r="D26" i="23"/>
  <c r="C27" i="23"/>
  <c r="D27" i="23"/>
  <c r="B25" i="23"/>
  <c r="C25" i="23"/>
  <c r="D25" i="23"/>
  <c r="B26" i="23"/>
  <c r="B27" i="23"/>
  <c r="B15" i="23"/>
  <c r="C15" i="23"/>
  <c r="D15" i="23"/>
  <c r="B16" i="23"/>
  <c r="C16" i="23"/>
  <c r="D16" i="23"/>
  <c r="B17" i="23"/>
  <c r="C17" i="23"/>
  <c r="D17" i="23"/>
  <c r="B18" i="23"/>
  <c r="C18" i="23"/>
  <c r="D18" i="23"/>
  <c r="B19" i="23"/>
  <c r="C19" i="23"/>
  <c r="D19" i="23"/>
  <c r="B20" i="23"/>
  <c r="C20" i="23"/>
  <c r="D20" i="23"/>
  <c r="B21" i="23"/>
  <c r="C21" i="23"/>
  <c r="D21" i="23"/>
  <c r="B22" i="23"/>
  <c r="C22" i="23"/>
  <c r="D22" i="23"/>
  <c r="B23" i="23"/>
  <c r="C23" i="23"/>
  <c r="D23" i="23"/>
  <c r="B3" i="23"/>
  <c r="C3" i="23"/>
  <c r="D3" i="23"/>
  <c r="B4" i="23"/>
  <c r="C4" i="23"/>
  <c r="D4" i="23"/>
  <c r="B5" i="23"/>
  <c r="C5" i="23"/>
  <c r="D5" i="23"/>
  <c r="B6" i="23"/>
  <c r="C6" i="23"/>
  <c r="D6" i="23"/>
  <c r="B7" i="23"/>
  <c r="C7" i="23"/>
  <c r="D7" i="23"/>
  <c r="B9" i="23"/>
  <c r="C9" i="23"/>
  <c r="D9" i="23"/>
  <c r="B10" i="23"/>
  <c r="C10" i="23"/>
  <c r="D10" i="23"/>
  <c r="B11" i="23"/>
  <c r="C11" i="23"/>
  <c r="D11" i="23"/>
  <c r="B12" i="23"/>
  <c r="C12" i="23"/>
  <c r="D12" i="23"/>
  <c r="B13" i="23"/>
  <c r="C13" i="23"/>
  <c r="D13" i="23"/>
  <c r="D2" i="23"/>
  <c r="C2" i="23"/>
  <c r="C35" i="20"/>
  <c r="C36" i="20"/>
  <c r="C37" i="20"/>
  <c r="C34" i="20"/>
  <c r="C31" i="20"/>
  <c r="C32" i="20"/>
  <c r="C30" i="20"/>
  <c r="C25" i="20"/>
  <c r="C26" i="20"/>
  <c r="C27" i="20"/>
  <c r="C28" i="20"/>
  <c r="C24" i="20"/>
  <c r="C22" i="20"/>
  <c r="C21" i="20"/>
  <c r="C12" i="20"/>
  <c r="C13" i="20"/>
  <c r="C14" i="20"/>
  <c r="C15" i="20"/>
  <c r="C16" i="20"/>
  <c r="C17" i="20"/>
  <c r="C18" i="20"/>
  <c r="C19" i="20"/>
  <c r="C11" i="20"/>
  <c r="C5" i="20"/>
  <c r="C6" i="20"/>
  <c r="C7" i="20"/>
  <c r="C8" i="20"/>
  <c r="C9" i="20"/>
  <c r="C4" i="20"/>
  <c r="B2" i="23"/>
  <c r="O538" i="6"/>
  <c r="O537" i="6"/>
  <c r="B113" i="19"/>
  <c r="O641" i="6" s="1"/>
  <c r="W809" i="6"/>
  <c r="W810" i="6"/>
  <c r="W811" i="6"/>
  <c r="W812" i="6"/>
  <c r="W813" i="6"/>
  <c r="W814" i="6"/>
  <c r="W815" i="6"/>
  <c r="W816" i="6"/>
  <c r="W955" i="6"/>
  <c r="X955" i="6" s="1"/>
  <c r="W785" i="6"/>
  <c r="W786" i="6"/>
  <c r="W787" i="6"/>
  <c r="W788" i="6"/>
  <c r="W795" i="6"/>
  <c r="W796" i="6"/>
  <c r="W845" i="6"/>
  <c r="W846" i="6"/>
  <c r="W847" i="6"/>
  <c r="W848" i="6"/>
  <c r="W849" i="6"/>
  <c r="W850" i="6"/>
  <c r="W851" i="6"/>
  <c r="W852" i="6"/>
  <c r="W853" i="6"/>
  <c r="W866" i="6"/>
  <c r="W867" i="6"/>
  <c r="W868" i="6"/>
  <c r="W869" i="6"/>
  <c r="W870" i="6"/>
  <c r="W871" i="6"/>
  <c r="W872" i="6"/>
  <c r="W873" i="6"/>
  <c r="W878" i="6"/>
  <c r="W879" i="6"/>
  <c r="W880" i="6"/>
  <c r="W939" i="6"/>
  <c r="W956" i="6"/>
  <c r="X956" i="6" s="1"/>
  <c r="W957" i="6"/>
  <c r="X957" i="6" s="1"/>
  <c r="W961" i="6"/>
  <c r="X961" i="6" s="1"/>
  <c r="W962" i="6"/>
  <c r="X962" i="6" s="1"/>
  <c r="W963" i="6"/>
  <c r="X963" i="6" s="1"/>
  <c r="W964" i="6"/>
  <c r="X964" i="6" s="1"/>
  <c r="W965" i="6"/>
  <c r="X965" i="6" s="1"/>
  <c r="W966" i="6"/>
  <c r="X966" i="6" s="1"/>
  <c r="W969" i="6"/>
  <c r="W970" i="6"/>
  <c r="W971" i="6"/>
  <c r="W972" i="6"/>
  <c r="W973" i="6"/>
  <c r="W974" i="6"/>
  <c r="W975" i="6"/>
  <c r="W976" i="6"/>
  <c r="W1019" i="6"/>
  <c r="X1019" i="6" s="1"/>
  <c r="W1020" i="6"/>
  <c r="X1020" i="6" s="1"/>
  <c r="W1035" i="6"/>
  <c r="W1036" i="6"/>
  <c r="W1037" i="6"/>
  <c r="W1038" i="6"/>
  <c r="W1039" i="6"/>
  <c r="W1040" i="6"/>
  <c r="W1041" i="6"/>
  <c r="W1042" i="6"/>
  <c r="W1043" i="6"/>
  <c r="W1044" i="6"/>
  <c r="W1045" i="6"/>
  <c r="W1046" i="6"/>
  <c r="W1047" i="6"/>
  <c r="W1048" i="6"/>
  <c r="W1063" i="6"/>
  <c r="X1063" i="6" s="1"/>
  <c r="W1068" i="6"/>
  <c r="W1069" i="6"/>
  <c r="W1070" i="6"/>
  <c r="W1071" i="6"/>
  <c r="W1072" i="6"/>
  <c r="W1073" i="6"/>
  <c r="W1074" i="6"/>
  <c r="W1075" i="6"/>
  <c r="W1076" i="6"/>
  <c r="W1077" i="6"/>
  <c r="W1168" i="6"/>
  <c r="W1169" i="6"/>
  <c r="W1170" i="6"/>
  <c r="W1171" i="6"/>
  <c r="W1172" i="6"/>
  <c r="W1173" i="6"/>
  <c r="W1174" i="6"/>
  <c r="W1175" i="6"/>
  <c r="W1212" i="6"/>
  <c r="X1212" i="6" s="1"/>
  <c r="W1213" i="6"/>
  <c r="X1213" i="6" s="1"/>
  <c r="W1214" i="6"/>
  <c r="X1214" i="6" s="1"/>
  <c r="W1215" i="6"/>
  <c r="X1215" i="6" s="1"/>
  <c r="W1216" i="6"/>
  <c r="X1216" i="6" s="1"/>
  <c r="W1217" i="6"/>
  <c r="X1217" i="6" s="1"/>
  <c r="W1218" i="6"/>
  <c r="X1218" i="6" s="1"/>
  <c r="W1219" i="6"/>
  <c r="X1219" i="6" s="1"/>
  <c r="W1220" i="6"/>
  <c r="X1220" i="6" s="1"/>
  <c r="W1221" i="6"/>
  <c r="X1221" i="6" s="1"/>
  <c r="W1222" i="6"/>
  <c r="X1222" i="6" s="1"/>
  <c r="W1223" i="6"/>
  <c r="X1223" i="6" s="1"/>
  <c r="W1224" i="6"/>
  <c r="X1224" i="6" s="1"/>
  <c r="W1225" i="6"/>
  <c r="X1225" i="6" s="1"/>
  <c r="W1226" i="6"/>
  <c r="X1226" i="6" s="1"/>
  <c r="W1227" i="6"/>
  <c r="X1227" i="6" s="1"/>
  <c r="W1228" i="6"/>
  <c r="X1228" i="6" s="1"/>
  <c r="W1229" i="6"/>
  <c r="X1229" i="6" s="1"/>
  <c r="W1230" i="6"/>
  <c r="X1230" i="6" s="1"/>
  <c r="W1231" i="6"/>
  <c r="X1231" i="6" s="1"/>
  <c r="W1232" i="6"/>
  <c r="X1232" i="6" s="1"/>
  <c r="W1233" i="6"/>
  <c r="X1233" i="6" s="1"/>
  <c r="W1234" i="6"/>
  <c r="X1234" i="6" s="1"/>
  <c r="W1235" i="6"/>
  <c r="X1235" i="6" s="1"/>
  <c r="W1236" i="6"/>
  <c r="X1236" i="6" s="1"/>
  <c r="W1237" i="6"/>
  <c r="X1237" i="6" s="1"/>
  <c r="W1238" i="6"/>
  <c r="X1238" i="6" s="1"/>
  <c r="W1239" i="6"/>
  <c r="X1239" i="6" s="1"/>
  <c r="W1240" i="6"/>
  <c r="X1240" i="6" s="1"/>
  <c r="W1241" i="6"/>
  <c r="X1241" i="6" s="1"/>
  <c r="W1242" i="6"/>
  <c r="W1243" i="6"/>
  <c r="W1244" i="6"/>
  <c r="W1245" i="6"/>
  <c r="W1246" i="6"/>
  <c r="W1247" i="6"/>
  <c r="W1248" i="6"/>
  <c r="W1277" i="6"/>
  <c r="X1277" i="6" s="1"/>
  <c r="W1278" i="6"/>
  <c r="X1278" i="6" s="1"/>
  <c r="W1279" i="6"/>
  <c r="X1279" i="6" s="1"/>
  <c r="W1280" i="6"/>
  <c r="X1280" i="6" s="1"/>
  <c r="W1281" i="6"/>
  <c r="X1281" i="6" s="1"/>
  <c r="W1282" i="6"/>
  <c r="X1282" i="6" s="1"/>
  <c r="W1283" i="6"/>
  <c r="W1284" i="6"/>
  <c r="X1284" i="6" s="1"/>
  <c r="W1285" i="6"/>
  <c r="X1285" i="6" s="1"/>
  <c r="W1295" i="6"/>
  <c r="X1295" i="6" s="1"/>
  <c r="W1296" i="6"/>
  <c r="X1296" i="6" s="1"/>
  <c r="W1297" i="6"/>
  <c r="X1297" i="6" s="1"/>
  <c r="W1298" i="6"/>
  <c r="X1298" i="6" s="1"/>
  <c r="W1299" i="6"/>
  <c r="X1299" i="6" s="1"/>
  <c r="W1300" i="6"/>
  <c r="X1300" i="6" s="1"/>
  <c r="W1301" i="6"/>
  <c r="W1303" i="6"/>
  <c r="X1303" i="6" s="1"/>
  <c r="W1304" i="6"/>
  <c r="X1304" i="6" s="1"/>
  <c r="W1305" i="6"/>
  <c r="X1305" i="6" s="1"/>
  <c r="W1306" i="6"/>
  <c r="X1306" i="6" s="1"/>
  <c r="W1307" i="6"/>
  <c r="X1307" i="6" s="1"/>
  <c r="W1308" i="6"/>
  <c r="X1308" i="6" s="1"/>
  <c r="W1313" i="6"/>
  <c r="X1313" i="6" s="1"/>
  <c r="W1314" i="6"/>
  <c r="X1314" i="6" s="1"/>
  <c r="W1315" i="6"/>
  <c r="X1315" i="6" s="1"/>
  <c r="W1316" i="6"/>
  <c r="W1317" i="6"/>
  <c r="W1318" i="6"/>
  <c r="W1319" i="6"/>
  <c r="W1320" i="6"/>
  <c r="W1321" i="6"/>
  <c r="W1322" i="6"/>
  <c r="W1323" i="6"/>
  <c r="W1332" i="6"/>
  <c r="W1333" i="6"/>
  <c r="W1334" i="6"/>
  <c r="W1335" i="6"/>
  <c r="W1336" i="6"/>
  <c r="W1337" i="6"/>
  <c r="W1338" i="6"/>
  <c r="W1339" i="6"/>
  <c r="W1340" i="6"/>
  <c r="W1341" i="6"/>
  <c r="W1342" i="6"/>
  <c r="W1343" i="6"/>
  <c r="W1344" i="6"/>
  <c r="W1345" i="6"/>
  <c r="W1346" i="6"/>
  <c r="W1347" i="6"/>
  <c r="W1348" i="6"/>
  <c r="W1349" i="6"/>
  <c r="W1354" i="6"/>
  <c r="X1354" i="6" s="1"/>
  <c r="W1355" i="6"/>
  <c r="X1355" i="6" s="1"/>
  <c r="W1356" i="6"/>
  <c r="X1356" i="6" s="1"/>
  <c r="W1451" i="6"/>
  <c r="X1451" i="6" s="1"/>
  <c r="W1452" i="6"/>
  <c r="X1452" i="6" s="1"/>
  <c r="W1453" i="6"/>
  <c r="W1454" i="6"/>
  <c r="W1455" i="6"/>
  <c r="W1456" i="6"/>
  <c r="W1457" i="6"/>
  <c r="W1458" i="6"/>
  <c r="W1459" i="6"/>
  <c r="W1460" i="6"/>
  <c r="W1461" i="6"/>
  <c r="W1462" i="6"/>
  <c r="W1463" i="6"/>
  <c r="W1464" i="6"/>
  <c r="W1465" i="6"/>
  <c r="W1466" i="6"/>
  <c r="W1467" i="6"/>
  <c r="W1468" i="6"/>
  <c r="W1469" i="6"/>
  <c r="W1470" i="6"/>
  <c r="W1482" i="6"/>
  <c r="X1482" i="6" s="1"/>
  <c r="W1483" i="6"/>
  <c r="X1483" i="6" s="1"/>
  <c r="W1484" i="6"/>
  <c r="X1484" i="6" s="1"/>
  <c r="W1485" i="6"/>
  <c r="X1485" i="6" s="1"/>
  <c r="W1486" i="6"/>
  <c r="X1486" i="6" s="1"/>
  <c r="W1487" i="6"/>
  <c r="X1487" i="6" s="1"/>
  <c r="W1488" i="6"/>
  <c r="X1488" i="6" s="1"/>
  <c r="W1489" i="6"/>
  <c r="X1489" i="6" s="1"/>
  <c r="W1490" i="6"/>
  <c r="W1491" i="6"/>
  <c r="W1492" i="6"/>
  <c r="W1493" i="6"/>
  <c r="W1494" i="6"/>
  <c r="W1495" i="6"/>
  <c r="W1496" i="6"/>
  <c r="W1497" i="6"/>
  <c r="W1498" i="6"/>
  <c r="W1499" i="6"/>
  <c r="W1500" i="6"/>
  <c r="W1501" i="6"/>
  <c r="W1502" i="6"/>
  <c r="W1503" i="6"/>
  <c r="W1504" i="6"/>
  <c r="W1505" i="6"/>
  <c r="W1506" i="6"/>
  <c r="W1507" i="6"/>
  <c r="W1508" i="6"/>
  <c r="W1509" i="6"/>
  <c r="W1510" i="6"/>
  <c r="X1510" i="6" s="1"/>
  <c r="W1511" i="6"/>
  <c r="W1512" i="6"/>
  <c r="W1513" i="6"/>
  <c r="W1514" i="6"/>
  <c r="W1515" i="6"/>
  <c r="W1516" i="6"/>
  <c r="W1517" i="6"/>
  <c r="W1518" i="6"/>
  <c r="W1519" i="6"/>
  <c r="W1520" i="6"/>
  <c r="W1521" i="6"/>
  <c r="X1521" i="6" s="1"/>
  <c r="W1522" i="6"/>
  <c r="X1522" i="6" s="1"/>
  <c r="W1528" i="6"/>
  <c r="W1551" i="6"/>
  <c r="W1552" i="6"/>
  <c r="W1553" i="6"/>
  <c r="W1554" i="6"/>
  <c r="W1555" i="6"/>
  <c r="W1556" i="6"/>
  <c r="W1557" i="6"/>
  <c r="W1558" i="6"/>
  <c r="W1559" i="6"/>
  <c r="W1560" i="6"/>
  <c r="W1561" i="6"/>
  <c r="W1562" i="6"/>
  <c r="W1563" i="6"/>
  <c r="X1563" i="6" s="1"/>
  <c r="W1564" i="6"/>
  <c r="X1564" i="6" s="1"/>
  <c r="W1565" i="6"/>
  <c r="X1565" i="6" s="1"/>
  <c r="W1566" i="6"/>
  <c r="X1566" i="6" s="1"/>
  <c r="W797" i="6"/>
  <c r="X797" i="6" s="1"/>
  <c r="W40" i="6"/>
  <c r="X40" i="6" s="1"/>
  <c r="W41" i="6"/>
  <c r="X41" i="6" s="1"/>
  <c r="W42" i="6"/>
  <c r="X42" i="6" s="1"/>
  <c r="W43" i="6"/>
  <c r="W44" i="6"/>
  <c r="W85" i="6"/>
  <c r="W87" i="6"/>
  <c r="W88" i="6"/>
  <c r="W89" i="6"/>
  <c r="W90" i="6"/>
  <c r="W91" i="6"/>
  <c r="W92" i="6"/>
  <c r="W93" i="6"/>
  <c r="W94" i="6"/>
  <c r="W106" i="6"/>
  <c r="W107" i="6"/>
  <c r="W108" i="6"/>
  <c r="W109" i="6"/>
  <c r="W114" i="6"/>
  <c r="W130" i="6"/>
  <c r="W131" i="6"/>
  <c r="W132" i="6"/>
  <c r="W133" i="6"/>
  <c r="W134" i="6"/>
  <c r="W369" i="6"/>
  <c r="W370" i="6"/>
  <c r="W371" i="6"/>
  <c r="W372" i="6"/>
  <c r="W373" i="6"/>
  <c r="W374" i="6"/>
  <c r="X374" i="6" s="1"/>
  <c r="W375" i="6"/>
  <c r="W376" i="6"/>
  <c r="X376" i="6" s="1"/>
  <c r="W377" i="6"/>
  <c r="W378" i="6"/>
  <c r="W379" i="6"/>
  <c r="X379" i="6" s="1"/>
  <c r="W409" i="6"/>
  <c r="X409" i="6" s="1"/>
  <c r="W410" i="6"/>
  <c r="X410" i="6" s="1"/>
  <c r="W411" i="6"/>
  <c r="X411" i="6" s="1"/>
  <c r="W430" i="6"/>
  <c r="X430" i="6" s="1"/>
  <c r="W431" i="6"/>
  <c r="X431" i="6" s="1"/>
  <c r="W441" i="6"/>
  <c r="W442" i="6"/>
  <c r="W443" i="6"/>
  <c r="W444" i="6"/>
  <c r="W445" i="6"/>
  <c r="W446" i="6"/>
  <c r="W513" i="6"/>
  <c r="W514" i="6"/>
  <c r="W515" i="6"/>
  <c r="W516" i="6"/>
  <c r="W517" i="6"/>
  <c r="W518" i="6"/>
  <c r="W519" i="6"/>
  <c r="W520" i="6"/>
  <c r="W521" i="6"/>
  <c r="W522" i="6"/>
  <c r="W523" i="6"/>
  <c r="W524" i="6"/>
  <c r="W525" i="6"/>
  <c r="W526" i="6"/>
  <c r="W527" i="6"/>
  <c r="W528" i="6"/>
  <c r="W529" i="6"/>
  <c r="W530" i="6"/>
  <c r="W531" i="6"/>
  <c r="W532" i="6"/>
  <c r="W533" i="6"/>
  <c r="W534" i="6"/>
  <c r="W539" i="6"/>
  <c r="W540" i="6"/>
  <c r="W541" i="6"/>
  <c r="W542" i="6"/>
  <c r="W543" i="6"/>
  <c r="W544" i="6"/>
  <c r="W545" i="6"/>
  <c r="W546" i="6"/>
  <c r="W547" i="6"/>
  <c r="W548" i="6"/>
  <c r="W549" i="6"/>
  <c r="W550" i="6"/>
  <c r="W551" i="6"/>
  <c r="W552" i="6"/>
  <c r="W571" i="6"/>
  <c r="W572" i="6"/>
  <c r="W573" i="6"/>
  <c r="W574" i="6"/>
  <c r="W575" i="6"/>
  <c r="W576" i="6"/>
  <c r="W577" i="6"/>
  <c r="W578" i="6"/>
  <c r="W579" i="6"/>
  <c r="W580" i="6"/>
  <c r="W581" i="6"/>
  <c r="W582" i="6"/>
  <c r="W583" i="6"/>
  <c r="W584" i="6"/>
  <c r="W585" i="6"/>
  <c r="W586" i="6"/>
  <c r="W587" i="6"/>
  <c r="W588" i="6"/>
  <c r="W589" i="6"/>
  <c r="W590" i="6"/>
  <c r="W591" i="6"/>
  <c r="W592" i="6"/>
  <c r="W593" i="6"/>
  <c r="W594" i="6"/>
  <c r="W712" i="6"/>
  <c r="X712" i="6" s="1"/>
  <c r="W713" i="6"/>
  <c r="X713" i="6" s="1"/>
  <c r="W714" i="6"/>
  <c r="X714" i="6" s="1"/>
  <c r="W715" i="6"/>
  <c r="X715" i="6" s="1"/>
  <c r="W721" i="6"/>
  <c r="W722" i="6"/>
  <c r="W724" i="6"/>
  <c r="W736" i="6"/>
  <c r="W737" i="6"/>
  <c r="W738" i="6"/>
  <c r="W739" i="6"/>
  <c r="W740" i="6"/>
  <c r="W741" i="6"/>
  <c r="W1530" i="6"/>
  <c r="W1531" i="6"/>
  <c r="W1532" i="6"/>
  <c r="W1533" i="6"/>
  <c r="W1543" i="6"/>
  <c r="W1544" i="6"/>
  <c r="W1545" i="6"/>
  <c r="W1546" i="6"/>
  <c r="W1547" i="6"/>
  <c r="W39" i="6"/>
  <c r="X39" i="6" s="1"/>
  <c r="B11" i="21"/>
  <c r="B24" i="21"/>
  <c r="B27" i="21"/>
  <c r="B35" i="21"/>
  <c r="B9" i="21"/>
  <c r="C11" i="21"/>
  <c r="D11" i="21"/>
  <c r="C14" i="21"/>
  <c r="D15" i="21"/>
  <c r="C24" i="21"/>
  <c r="D24" i="21"/>
  <c r="C27" i="21"/>
  <c r="D27" i="21"/>
  <c r="C28" i="21"/>
  <c r="C32" i="21"/>
  <c r="C33" i="21"/>
  <c r="C35" i="21"/>
  <c r="D35" i="21"/>
  <c r="D36" i="21"/>
  <c r="C37" i="21"/>
  <c r="C9" i="21"/>
  <c r="D9" i="21"/>
  <c r="D29" i="20"/>
  <c r="E29" i="20"/>
  <c r="D23" i="20"/>
  <c r="E23" i="20"/>
  <c r="D20" i="20"/>
  <c r="E20" i="20"/>
  <c r="E22" i="20"/>
  <c r="D22" i="20"/>
  <c r="E24" i="20"/>
  <c r="D24" i="20"/>
  <c r="E25" i="20"/>
  <c r="D25" i="20"/>
  <c r="E26" i="20"/>
  <c r="D26" i="20"/>
  <c r="E27" i="20"/>
  <c r="D27" i="20"/>
  <c r="E28" i="20"/>
  <c r="D28" i="20"/>
  <c r="E30" i="20"/>
  <c r="D30" i="20"/>
  <c r="E31" i="20"/>
  <c r="D31" i="20"/>
  <c r="E32" i="20"/>
  <c r="D32" i="20"/>
  <c r="E33" i="20"/>
  <c r="D33" i="20"/>
  <c r="E34" i="20"/>
  <c r="D34" i="20"/>
  <c r="E35" i="20"/>
  <c r="D35" i="20"/>
  <c r="E36" i="20"/>
  <c r="D36" i="20"/>
  <c r="E37" i="20"/>
  <c r="D37" i="20"/>
  <c r="D21" i="20"/>
  <c r="E21" i="20"/>
  <c r="E12" i="20"/>
  <c r="D12" i="20"/>
  <c r="E13" i="20"/>
  <c r="D13" i="20"/>
  <c r="E14" i="20"/>
  <c r="D14" i="20"/>
  <c r="E15" i="20"/>
  <c r="D15" i="20"/>
  <c r="E16" i="20"/>
  <c r="D16" i="20"/>
  <c r="E17" i="20"/>
  <c r="D17" i="20"/>
  <c r="E18" i="20"/>
  <c r="D18" i="20"/>
  <c r="E19" i="20"/>
  <c r="D19" i="20"/>
  <c r="D11" i="20"/>
  <c r="E11" i="20"/>
  <c r="D10" i="20"/>
  <c r="E10" i="20"/>
  <c r="E6" i="20"/>
  <c r="D6" i="20"/>
  <c r="E7" i="20"/>
  <c r="D7" i="20"/>
  <c r="E8" i="20"/>
  <c r="D8" i="20"/>
  <c r="E9" i="20"/>
  <c r="D9" i="20"/>
  <c r="D5" i="20"/>
  <c r="E5" i="20"/>
  <c r="D4" i="20"/>
  <c r="E4" i="20"/>
  <c r="D3" i="20"/>
  <c r="E3" i="20"/>
  <c r="C23" i="20"/>
  <c r="C29" i="20"/>
  <c r="C20" i="20"/>
  <c r="C10" i="20"/>
  <c r="C3" i="20"/>
  <c r="C33" i="20"/>
  <c r="O81" i="6"/>
  <c r="O39" i="6"/>
  <c r="O40" i="6"/>
  <c r="O41" i="6"/>
  <c r="O42" i="6"/>
  <c r="O43" i="6"/>
  <c r="O44" i="6"/>
  <c r="O85" i="6"/>
  <c r="O87" i="6"/>
  <c r="O88" i="6"/>
  <c r="O89" i="6"/>
  <c r="O90" i="6"/>
  <c r="O91" i="6"/>
  <c r="O92" i="6"/>
  <c r="O93" i="6"/>
  <c r="O94" i="6"/>
  <c r="O106" i="6"/>
  <c r="O107" i="6"/>
  <c r="O108" i="6"/>
  <c r="O109" i="6"/>
  <c r="O130" i="6"/>
  <c r="O131" i="6"/>
  <c r="O132" i="6"/>
  <c r="O133" i="6"/>
  <c r="O134" i="6"/>
  <c r="O369" i="6"/>
  <c r="O370" i="6"/>
  <c r="O371" i="6"/>
  <c r="O372" i="6"/>
  <c r="O373" i="6"/>
  <c r="O374" i="6"/>
  <c r="O375" i="6"/>
  <c r="O376" i="6"/>
  <c r="O377" i="6"/>
  <c r="O378" i="6"/>
  <c r="O379" i="6"/>
  <c r="O409" i="6"/>
  <c r="O410" i="6"/>
  <c r="O411" i="6"/>
  <c r="O430" i="6"/>
  <c r="O431" i="6"/>
  <c r="O441" i="6"/>
  <c r="O442" i="6"/>
  <c r="O443" i="6"/>
  <c r="O444" i="6"/>
  <c r="O445" i="6"/>
  <c r="O446" i="6"/>
  <c r="O513" i="6"/>
  <c r="O514" i="6"/>
  <c r="O515" i="6"/>
  <c r="O516" i="6"/>
  <c r="O517" i="6"/>
  <c r="O518" i="6"/>
  <c r="O519" i="6"/>
  <c r="O520" i="6"/>
  <c r="O521" i="6"/>
  <c r="O522" i="6"/>
  <c r="O523" i="6"/>
  <c r="O524" i="6"/>
  <c r="O525" i="6"/>
  <c r="O526" i="6"/>
  <c r="O527" i="6"/>
  <c r="O528" i="6"/>
  <c r="O529" i="6"/>
  <c r="O530" i="6"/>
  <c r="O531" i="6"/>
  <c r="O532" i="6"/>
  <c r="O533" i="6"/>
  <c r="O534" i="6"/>
  <c r="O539" i="6"/>
  <c r="O540" i="6"/>
  <c r="O541" i="6"/>
  <c r="O542" i="6"/>
  <c r="O543" i="6"/>
  <c r="O544" i="6"/>
  <c r="O545" i="6"/>
  <c r="O546" i="6"/>
  <c r="O547" i="6"/>
  <c r="O548" i="6"/>
  <c r="O549" i="6"/>
  <c r="O550" i="6"/>
  <c r="O551" i="6"/>
  <c r="O552" i="6"/>
  <c r="O571" i="6"/>
  <c r="O572" i="6"/>
  <c r="O573" i="6"/>
  <c r="O574" i="6"/>
  <c r="O575" i="6"/>
  <c r="O576" i="6"/>
  <c r="O577" i="6"/>
  <c r="O578" i="6"/>
  <c r="O579" i="6"/>
  <c r="O580" i="6"/>
  <c r="O581" i="6"/>
  <c r="O582" i="6"/>
  <c r="O583" i="6"/>
  <c r="O584" i="6"/>
  <c r="O585" i="6"/>
  <c r="O586" i="6"/>
  <c r="O587" i="6"/>
  <c r="O588" i="6"/>
  <c r="O589" i="6"/>
  <c r="O590" i="6"/>
  <c r="O591" i="6"/>
  <c r="O592" i="6"/>
  <c r="O593" i="6"/>
  <c r="O594" i="6"/>
  <c r="O712" i="6"/>
  <c r="O713" i="6"/>
  <c r="O714" i="6"/>
  <c r="O721" i="6"/>
  <c r="O722" i="6"/>
  <c r="O724" i="6"/>
  <c r="O736" i="6"/>
  <c r="O737" i="6"/>
  <c r="O738" i="6"/>
  <c r="O739" i="6"/>
  <c r="O740" i="6"/>
  <c r="O741" i="6"/>
  <c r="O1530" i="6"/>
  <c r="O1531" i="6"/>
  <c r="O1532" i="6"/>
  <c r="O1533" i="6"/>
  <c r="O1543" i="6"/>
  <c r="O1544" i="6"/>
  <c r="O1545" i="6"/>
  <c r="O1546" i="6"/>
  <c r="O1547" i="6"/>
  <c r="O2" i="6"/>
  <c r="O3" i="6"/>
  <c r="O4" i="6"/>
  <c r="O5" i="6"/>
  <c r="O6" i="6"/>
  <c r="O7" i="6"/>
  <c r="O8" i="6"/>
  <c r="O9" i="6"/>
  <c r="O10" i="6"/>
  <c r="O11" i="6"/>
  <c r="O12" i="6"/>
  <c r="O13" i="6"/>
  <c r="O14" i="6"/>
  <c r="O15" i="6"/>
  <c r="O16" i="6"/>
  <c r="O17" i="6"/>
  <c r="O18" i="6"/>
  <c r="O19" i="6"/>
  <c r="O20" i="6"/>
  <c r="O21" i="6"/>
  <c r="O22" i="6"/>
  <c r="O23" i="6"/>
  <c r="O24" i="6"/>
  <c r="O25" i="6"/>
  <c r="O26" i="6"/>
  <c r="O27" i="6"/>
  <c r="O28" i="6"/>
  <c r="O29" i="6"/>
  <c r="O30" i="6"/>
  <c r="O31" i="6"/>
  <c r="O32" i="6"/>
  <c r="O33" i="6"/>
  <c r="O34" i="6"/>
  <c r="O35" i="6"/>
  <c r="O36" i="6"/>
  <c r="O37" i="6"/>
  <c r="O38" i="6"/>
  <c r="O45" i="6"/>
  <c r="O46" i="6"/>
  <c r="O47" i="6"/>
  <c r="O48" i="6"/>
  <c r="O49" i="6"/>
  <c r="O50" i="6"/>
  <c r="O51" i="6"/>
  <c r="O52" i="6"/>
  <c r="O53" i="6"/>
  <c r="O54" i="6"/>
  <c r="O55" i="6"/>
  <c r="O56" i="6"/>
  <c r="O57" i="6"/>
  <c r="O58" i="6"/>
  <c r="O59" i="6"/>
  <c r="O60" i="6"/>
  <c r="O61" i="6"/>
  <c r="O62" i="6"/>
  <c r="O63" i="6"/>
  <c r="O64" i="6"/>
  <c r="O65" i="6"/>
  <c r="O66" i="6"/>
  <c r="O67" i="6"/>
  <c r="O68" i="6"/>
  <c r="O69" i="6"/>
  <c r="O70" i="6"/>
  <c r="O71" i="6"/>
  <c r="O72" i="6"/>
  <c r="O73" i="6"/>
  <c r="O74" i="6"/>
  <c r="O75" i="6"/>
  <c r="O76" i="6"/>
  <c r="O77" i="6"/>
  <c r="O78" i="6"/>
  <c r="O79" i="6"/>
  <c r="O84" i="6"/>
  <c r="O95" i="6"/>
  <c r="O96" i="6"/>
  <c r="O97" i="6"/>
  <c r="O98" i="6"/>
  <c r="O99" i="6"/>
  <c r="O100" i="6"/>
  <c r="O101" i="6"/>
  <c r="O102" i="6"/>
  <c r="O103" i="6"/>
  <c r="O104" i="6"/>
  <c r="O105" i="6"/>
  <c r="O110" i="6"/>
  <c r="O111" i="6"/>
  <c r="O112" i="6"/>
  <c r="O113" i="6"/>
  <c r="O121" i="6"/>
  <c r="O122" i="6"/>
  <c r="O123" i="6"/>
  <c r="O124" i="6"/>
  <c r="O178" i="6"/>
  <c r="O179" i="6"/>
  <c r="O180" i="6"/>
  <c r="O181" i="6"/>
  <c r="O182" i="6"/>
  <c r="O183" i="6"/>
  <c r="O184" i="6"/>
  <c r="O185" i="6"/>
  <c r="O186" i="6"/>
  <c r="O187" i="6"/>
  <c r="O188" i="6"/>
  <c r="O189" i="6"/>
  <c r="O190" i="6"/>
  <c r="O191" i="6"/>
  <c r="O192" i="6"/>
  <c r="O193" i="6"/>
  <c r="O194" i="6"/>
  <c r="O195" i="6"/>
  <c r="O196" i="6"/>
  <c r="O197" i="6"/>
  <c r="O198" i="6"/>
  <c r="O199" i="6"/>
  <c r="O200" i="6"/>
  <c r="O201" i="6"/>
  <c r="O202" i="6"/>
  <c r="O203" i="6"/>
  <c r="O204" i="6"/>
  <c r="O205" i="6"/>
  <c r="O206" i="6"/>
  <c r="O207" i="6"/>
  <c r="O208" i="6"/>
  <c r="O209" i="6"/>
  <c r="O210" i="6"/>
  <c r="O211" i="6"/>
  <c r="O212" i="6"/>
  <c r="O213" i="6"/>
  <c r="O214" i="6"/>
  <c r="O215" i="6"/>
  <c r="O216" i="6"/>
  <c r="O217" i="6"/>
  <c r="O218" i="6"/>
  <c r="O219" i="6"/>
  <c r="O220" i="6"/>
  <c r="O221" i="6"/>
  <c r="O222" i="6"/>
  <c r="O223" i="6"/>
  <c r="O224" i="6"/>
  <c r="O225" i="6"/>
  <c r="O226" i="6"/>
  <c r="O227" i="6"/>
  <c r="O228" i="6"/>
  <c r="O229" i="6"/>
  <c r="O230" i="6"/>
  <c r="O231" i="6"/>
  <c r="O232" i="6"/>
  <c r="O233" i="6"/>
  <c r="O234" i="6"/>
  <c r="O235" i="6"/>
  <c r="O236" i="6"/>
  <c r="O237" i="6"/>
  <c r="O238" i="6"/>
  <c r="O239" i="6"/>
  <c r="O240" i="6"/>
  <c r="O241" i="6"/>
  <c r="O242" i="6"/>
  <c r="O243" i="6"/>
  <c r="O244" i="6"/>
  <c r="O245" i="6"/>
  <c r="O251" i="6"/>
  <c r="O252" i="6"/>
  <c r="O253" i="6"/>
  <c r="O255" i="6"/>
  <c r="O256" i="6"/>
  <c r="O257" i="6"/>
  <c r="O258" i="6"/>
  <c r="O259" i="6"/>
  <c r="O260" i="6"/>
  <c r="O261" i="6"/>
  <c r="O262" i="6"/>
  <c r="O263" i="6"/>
  <c r="O264" i="6"/>
  <c r="O265" i="6"/>
  <c r="O266" i="6"/>
  <c r="O267" i="6"/>
  <c r="O273" i="6"/>
  <c r="O274" i="6"/>
  <c r="O276" i="6"/>
  <c r="O277" i="6"/>
  <c r="O278" i="6"/>
  <c r="O279" i="6"/>
  <c r="O280" i="6"/>
  <c r="O281" i="6"/>
  <c r="O282" i="6"/>
  <c r="O283" i="6"/>
  <c r="O284" i="6"/>
  <c r="O285" i="6"/>
  <c r="O286" i="6"/>
  <c r="O287" i="6"/>
  <c r="O288" i="6"/>
  <c r="O289" i="6"/>
  <c r="O290" i="6"/>
  <c r="O291" i="6"/>
  <c r="O292" i="6"/>
  <c r="O293" i="6"/>
  <c r="O294" i="6"/>
  <c r="O295" i="6"/>
  <c r="O296" i="6"/>
  <c r="O297" i="6"/>
  <c r="O298" i="6"/>
  <c r="O299" i="6"/>
  <c r="O300" i="6"/>
  <c r="O301" i="6"/>
  <c r="O302" i="6"/>
  <c r="O303" i="6"/>
  <c r="O304" i="6"/>
  <c r="O305" i="6"/>
  <c r="O306" i="6"/>
  <c r="O307" i="6"/>
  <c r="O308" i="6"/>
  <c r="O309" i="6"/>
  <c r="O310" i="6"/>
  <c r="O311" i="6"/>
  <c r="O312" i="6"/>
  <c r="O313" i="6"/>
  <c r="O314" i="6"/>
  <c r="O315" i="6"/>
  <c r="O316" i="6"/>
  <c r="O317" i="6"/>
  <c r="O318" i="6"/>
  <c r="O319" i="6"/>
  <c r="O320" i="6"/>
  <c r="O321" i="6"/>
  <c r="O322" i="6"/>
  <c r="O323" i="6"/>
  <c r="O324" i="6"/>
  <c r="O325" i="6"/>
  <c r="O326" i="6"/>
  <c r="O327" i="6"/>
  <c r="O328" i="6"/>
  <c r="O329" i="6"/>
  <c r="O330" i="6"/>
  <c r="O331" i="6"/>
  <c r="O332" i="6"/>
  <c r="O333" i="6"/>
  <c r="O334" i="6"/>
  <c r="O335" i="6"/>
  <c r="O336" i="6"/>
  <c r="O337" i="6"/>
  <c r="O338" i="6"/>
  <c r="O339" i="6"/>
  <c r="O340" i="6"/>
  <c r="O341" i="6"/>
  <c r="O342" i="6"/>
  <c r="O343" i="6"/>
  <c r="O344" i="6"/>
  <c r="O345" i="6"/>
  <c r="O346" i="6"/>
  <c r="O347" i="6"/>
  <c r="O348" i="6"/>
  <c r="O349" i="6"/>
  <c r="O350" i="6"/>
  <c r="O351" i="6"/>
  <c r="O352" i="6"/>
  <c r="O353" i="6"/>
  <c r="O354" i="6"/>
  <c r="O355" i="6"/>
  <c r="O356" i="6"/>
  <c r="O357" i="6"/>
  <c r="O358" i="6"/>
  <c r="O359" i="6"/>
  <c r="O360" i="6"/>
  <c r="O361" i="6"/>
  <c r="O362" i="6"/>
  <c r="O363" i="6"/>
  <c r="O364" i="6"/>
  <c r="O365" i="6"/>
  <c r="O366" i="6"/>
  <c r="O367" i="6"/>
  <c r="O368" i="6"/>
  <c r="O385" i="6"/>
  <c r="O386" i="6"/>
  <c r="O387" i="6"/>
  <c r="O388" i="6"/>
  <c r="O389" i="6"/>
  <c r="O390" i="6"/>
  <c r="O391" i="6"/>
  <c r="O392" i="6"/>
  <c r="O393" i="6"/>
  <c r="O394" i="6"/>
  <c r="O395" i="6"/>
  <c r="O396" i="6"/>
  <c r="O397" i="6"/>
  <c r="O398" i="6"/>
  <c r="O405" i="6"/>
  <c r="O406" i="6"/>
  <c r="O407" i="6"/>
  <c r="O408" i="6"/>
  <c r="O412" i="6"/>
  <c r="O413" i="6"/>
  <c r="O414" i="6"/>
  <c r="O415" i="6"/>
  <c r="O416" i="6"/>
  <c r="O417" i="6"/>
  <c r="O418" i="6"/>
  <c r="O419" i="6"/>
  <c r="O420" i="6"/>
  <c r="O421" i="6"/>
  <c r="O422" i="6"/>
  <c r="O423" i="6"/>
  <c r="O424" i="6"/>
  <c r="O425" i="6"/>
  <c r="O426" i="6"/>
  <c r="O427" i="6"/>
  <c r="O428" i="6"/>
  <c r="O429" i="6"/>
  <c r="O432" i="6"/>
  <c r="O433" i="6"/>
  <c r="O434" i="6"/>
  <c r="O435" i="6"/>
  <c r="O436" i="6"/>
  <c r="O437" i="6"/>
  <c r="O453" i="6"/>
  <c r="O454" i="6"/>
  <c r="O455" i="6"/>
  <c r="O456" i="6"/>
  <c r="O457" i="6"/>
  <c r="O458" i="6"/>
  <c r="O459" i="6"/>
  <c r="O460" i="6"/>
  <c r="O461" i="6"/>
  <c r="O462" i="6"/>
  <c r="O463" i="6"/>
  <c r="O464" i="6"/>
  <c r="O465" i="6"/>
  <c r="O466" i="6"/>
  <c r="O467" i="6"/>
  <c r="O468" i="6"/>
  <c r="O469" i="6"/>
  <c r="O470" i="6"/>
  <c r="O472" i="6"/>
  <c r="O473" i="6"/>
  <c r="O474" i="6"/>
  <c r="O475" i="6"/>
  <c r="O476" i="6"/>
  <c r="O477" i="6"/>
  <c r="O478" i="6"/>
  <c r="O479" i="6"/>
  <c r="O480" i="6"/>
  <c r="O481" i="6"/>
  <c r="O482" i="6"/>
  <c r="O483" i="6"/>
  <c r="O484" i="6"/>
  <c r="O485" i="6"/>
  <c r="O486" i="6"/>
  <c r="O487" i="6"/>
  <c r="O488" i="6"/>
  <c r="O489" i="6"/>
  <c r="O490" i="6"/>
  <c r="O491" i="6"/>
  <c r="O492" i="6"/>
  <c r="O493" i="6"/>
  <c r="O494" i="6"/>
  <c r="O495" i="6"/>
  <c r="O496" i="6"/>
  <c r="O497" i="6"/>
  <c r="O498" i="6"/>
  <c r="O499" i="6"/>
  <c r="O500" i="6"/>
  <c r="O501" i="6"/>
  <c r="O502" i="6"/>
  <c r="O503" i="6"/>
  <c r="O504" i="6"/>
  <c r="O507" i="6"/>
  <c r="O508" i="6"/>
  <c r="O509" i="6"/>
  <c r="O510" i="6"/>
  <c r="O511" i="6"/>
  <c r="O512" i="6"/>
  <c r="O535" i="6"/>
  <c r="O536" i="6"/>
  <c r="O553" i="6"/>
  <c r="O554" i="6"/>
  <c r="O555" i="6"/>
  <c r="O556" i="6"/>
  <c r="O557" i="6"/>
  <c r="O558" i="6"/>
  <c r="O559" i="6"/>
  <c r="O560" i="6"/>
  <c r="O561" i="6"/>
  <c r="O562" i="6"/>
  <c r="O563" i="6"/>
  <c r="O564" i="6"/>
  <c r="O565" i="6"/>
  <c r="O566" i="6"/>
  <c r="O567" i="6"/>
  <c r="O623" i="6"/>
  <c r="O624" i="6"/>
  <c r="O625" i="6"/>
  <c r="O626" i="6"/>
  <c r="O627" i="6"/>
  <c r="O628" i="6"/>
  <c r="O630" i="6"/>
  <c r="O631" i="6"/>
  <c r="O650" i="6"/>
  <c r="O651" i="6"/>
  <c r="O652" i="6"/>
  <c r="O653" i="6"/>
  <c r="O654" i="6"/>
  <c r="O655" i="6"/>
  <c r="O656" i="6"/>
  <c r="O657" i="6"/>
  <c r="O658" i="6"/>
  <c r="O659" i="6"/>
  <c r="O660" i="6"/>
  <c r="O661" i="6"/>
  <c r="O662" i="6"/>
  <c r="O663" i="6"/>
  <c r="O664" i="6"/>
  <c r="O665" i="6"/>
  <c r="O666" i="6"/>
  <c r="O667" i="6"/>
  <c r="O669" i="6"/>
  <c r="O670" i="6"/>
  <c r="O671" i="6"/>
  <c r="O672" i="6"/>
  <c r="O673" i="6"/>
  <c r="O674" i="6"/>
  <c r="O675" i="6"/>
  <c r="O676" i="6"/>
  <c r="O677" i="6"/>
  <c r="O678" i="6"/>
  <c r="O679" i="6"/>
  <c r="O680" i="6"/>
  <c r="O681" i="6"/>
  <c r="O682" i="6"/>
  <c r="O683" i="6"/>
  <c r="O684" i="6"/>
  <c r="O685" i="6"/>
  <c r="O686" i="6"/>
  <c r="O687" i="6"/>
  <c r="O688" i="6"/>
  <c r="O689" i="6"/>
  <c r="O690" i="6"/>
  <c r="O691" i="6"/>
  <c r="O692" i="6"/>
  <c r="O693" i="6"/>
  <c r="O694" i="6"/>
  <c r="O695" i="6"/>
  <c r="O696" i="6"/>
  <c r="O697" i="6"/>
  <c r="O698" i="6"/>
  <c r="O699" i="6"/>
  <c r="O716" i="6"/>
  <c r="O717" i="6"/>
  <c r="O718" i="6"/>
  <c r="O719" i="6"/>
  <c r="O725" i="6"/>
  <c r="O766" i="6"/>
  <c r="O767" i="6"/>
  <c r="O768" i="6"/>
  <c r="O769" i="6"/>
  <c r="O770" i="6"/>
  <c r="O771" i="6"/>
  <c r="O772" i="6"/>
  <c r="O773" i="6"/>
  <c r="O774" i="6"/>
  <c r="O775" i="6"/>
  <c r="O776" i="6"/>
  <c r="O777" i="6"/>
  <c r="O778" i="6"/>
  <c r="O779" i="6"/>
  <c r="O780" i="6"/>
  <c r="O781" i="6"/>
  <c r="O782" i="6"/>
  <c r="O783" i="6"/>
  <c r="O784" i="6"/>
  <c r="O829" i="6"/>
  <c r="O830" i="6"/>
  <c r="O831" i="6"/>
  <c r="O832" i="6"/>
  <c r="O833" i="6"/>
  <c r="O834" i="6"/>
  <c r="O835" i="6"/>
  <c r="O836" i="6"/>
  <c r="O837" i="6"/>
  <c r="O838" i="6"/>
  <c r="O839" i="6"/>
  <c r="O840" i="6"/>
  <c r="O844" i="6"/>
  <c r="O854" i="6"/>
  <c r="O857" i="6"/>
  <c r="O861" i="6"/>
  <c r="O862" i="6"/>
  <c r="O865" i="6"/>
  <c r="O875" i="6"/>
  <c r="O876" i="6"/>
  <c r="O877" i="6"/>
  <c r="O881" i="6"/>
  <c r="O882" i="6"/>
  <c r="O883" i="6"/>
  <c r="O884" i="6"/>
  <c r="O885" i="6"/>
  <c r="O886" i="6"/>
  <c r="O887" i="6"/>
  <c r="O888" i="6"/>
  <c r="O889" i="6"/>
  <c r="O890" i="6"/>
  <c r="O891" i="6"/>
  <c r="O892" i="6"/>
  <c r="O893" i="6"/>
  <c r="O894" i="6"/>
  <c r="O895" i="6"/>
  <c r="O896" i="6"/>
  <c r="O897" i="6"/>
  <c r="O898" i="6"/>
  <c r="O899" i="6"/>
  <c r="O900" i="6"/>
  <c r="O901" i="6"/>
  <c r="O902" i="6"/>
  <c r="O903" i="6"/>
  <c r="O904" i="6"/>
  <c r="O905" i="6"/>
  <c r="O906" i="6"/>
  <c r="O907" i="6"/>
  <c r="O908" i="6"/>
  <c r="O909" i="6"/>
  <c r="O910" i="6"/>
  <c r="O911" i="6"/>
  <c r="O912" i="6"/>
  <c r="O913" i="6"/>
  <c r="O914" i="6"/>
  <c r="O915" i="6"/>
  <c r="O916" i="6"/>
  <c r="O917" i="6"/>
  <c r="O918" i="6"/>
  <c r="O919" i="6"/>
  <c r="O920" i="6"/>
  <c r="O921" i="6"/>
  <c r="O922" i="6"/>
  <c r="O923" i="6"/>
  <c r="O924" i="6"/>
  <c r="O925" i="6"/>
  <c r="O926" i="6"/>
  <c r="O927" i="6"/>
  <c r="O928" i="6"/>
  <c r="O929" i="6"/>
  <c r="O930" i="6"/>
  <c r="O931" i="6"/>
  <c r="O932" i="6"/>
  <c r="O933" i="6"/>
  <c r="O934" i="6"/>
  <c r="O935" i="6"/>
  <c r="O936" i="6"/>
  <c r="O937" i="6"/>
  <c r="O938" i="6"/>
  <c r="O952" i="6"/>
  <c r="O953" i="6"/>
  <c r="O954" i="6"/>
  <c r="O959" i="6"/>
  <c r="O960" i="6"/>
  <c r="O967" i="6"/>
  <c r="O968" i="6"/>
  <c r="O980" i="6"/>
  <c r="O982" i="6"/>
  <c r="O983" i="6"/>
  <c r="O984" i="6"/>
  <c r="O985" i="6"/>
  <c r="O986" i="6"/>
  <c r="O987" i="6"/>
  <c r="O988" i="6"/>
  <c r="O989" i="6"/>
  <c r="O990" i="6"/>
  <c r="O991" i="6"/>
  <c r="O992" i="6"/>
  <c r="O993" i="6"/>
  <c r="O994" i="6"/>
  <c r="O995" i="6"/>
  <c r="O996" i="6"/>
  <c r="O997" i="6"/>
  <c r="O998" i="6"/>
  <c r="O999" i="6"/>
  <c r="O1000" i="6"/>
  <c r="O1001" i="6"/>
  <c r="O1002" i="6"/>
  <c r="O1003" i="6"/>
  <c r="O1004" i="6"/>
  <c r="O1005" i="6"/>
  <c r="O1006" i="6"/>
  <c r="O1007" i="6"/>
  <c r="O1008" i="6"/>
  <c r="O1009" i="6"/>
  <c r="O1010" i="6"/>
  <c r="O1011" i="6"/>
  <c r="O1012" i="6"/>
  <c r="O1013" i="6"/>
  <c r="O1014" i="6"/>
  <c r="O1015" i="6"/>
  <c r="O1016" i="6"/>
  <c r="O1017" i="6"/>
  <c r="O1018" i="6"/>
  <c r="O1021" i="6"/>
  <c r="O1022" i="6"/>
  <c r="O1023" i="6"/>
  <c r="O1024" i="6"/>
  <c r="O1025" i="6"/>
  <c r="O1026" i="6"/>
  <c r="O1027" i="6"/>
  <c r="O1028" i="6"/>
  <c r="O1029" i="6"/>
  <c r="O1030" i="6"/>
  <c r="O1031" i="6"/>
  <c r="O1032" i="6"/>
  <c r="O1033" i="6"/>
  <c r="O1034" i="6"/>
  <c r="O1051" i="6"/>
  <c r="O1052" i="6"/>
  <c r="O1053" i="6"/>
  <c r="O1054" i="6"/>
  <c r="O1055" i="6"/>
  <c r="O1056" i="6"/>
  <c r="O1057" i="6"/>
  <c r="O1058" i="6"/>
  <c r="O1059" i="6"/>
  <c r="O1060" i="6"/>
  <c r="O1061" i="6"/>
  <c r="O1062" i="6"/>
  <c r="O1080" i="6"/>
  <c r="O1081" i="6"/>
  <c r="O1082" i="6"/>
  <c r="O1083" i="6"/>
  <c r="O1084" i="6"/>
  <c r="O1085" i="6"/>
  <c r="O1086" i="6"/>
  <c r="O1087" i="6"/>
  <c r="O1088" i="6"/>
  <c r="O1089" i="6"/>
  <c r="O1090" i="6"/>
  <c r="O1091" i="6"/>
  <c r="O1092" i="6"/>
  <c r="O1093" i="6"/>
  <c r="O1094" i="6"/>
  <c r="O1095" i="6"/>
  <c r="O1096" i="6"/>
  <c r="O1097" i="6"/>
  <c r="O1098" i="6"/>
  <c r="O1099" i="6"/>
  <c r="O1100" i="6"/>
  <c r="O1101" i="6"/>
  <c r="O1102" i="6"/>
  <c r="O1167" i="6"/>
  <c r="O1176" i="6"/>
  <c r="O1177" i="6"/>
  <c r="O1178" i="6"/>
  <c r="O1179" i="6"/>
  <c r="O1180" i="6"/>
  <c r="O1181" i="6"/>
  <c r="O1182" i="6"/>
  <c r="O1183" i="6"/>
  <c r="O1184" i="6"/>
  <c r="O1185" i="6"/>
  <c r="O1186" i="6"/>
  <c r="O1187" i="6"/>
  <c r="O1188" i="6"/>
  <c r="O1189" i="6"/>
  <c r="O1190" i="6"/>
  <c r="O1191" i="6"/>
  <c r="O1192" i="6"/>
  <c r="O1193" i="6"/>
  <c r="O1194" i="6"/>
  <c r="O1195" i="6"/>
  <c r="O1196" i="6"/>
  <c r="O1197" i="6"/>
  <c r="O1198" i="6"/>
  <c r="O1199" i="6"/>
  <c r="O1200" i="6"/>
  <c r="O1201" i="6"/>
  <c r="O1202" i="6"/>
  <c r="O1203" i="6"/>
  <c r="O1204" i="6"/>
  <c r="O1205" i="6"/>
  <c r="O1206" i="6"/>
  <c r="O1207" i="6"/>
  <c r="O1208" i="6"/>
  <c r="O1209" i="6"/>
  <c r="O1210" i="6"/>
  <c r="O1211" i="6"/>
  <c r="O1249" i="6"/>
  <c r="O1250" i="6"/>
  <c r="O1251" i="6"/>
  <c r="O1252" i="6"/>
  <c r="O1253" i="6"/>
  <c r="O1286" i="6"/>
  <c r="O1287" i="6"/>
  <c r="O1288" i="6"/>
  <c r="O1289" i="6"/>
  <c r="O1290" i="6"/>
  <c r="O1291" i="6"/>
  <c r="O1292" i="6"/>
  <c r="O1293" i="6"/>
  <c r="O1294" i="6"/>
  <c r="O1312" i="6"/>
  <c r="O1350" i="6"/>
  <c r="O1351" i="6"/>
  <c r="O1352" i="6"/>
  <c r="O1353" i="6"/>
  <c r="O1357" i="6"/>
  <c r="O1358" i="6"/>
  <c r="O1359" i="6"/>
  <c r="O1360" i="6"/>
  <c r="O1362" i="6"/>
  <c r="O1363" i="6"/>
  <c r="O1364" i="6"/>
  <c r="O1365" i="6"/>
  <c r="O1366" i="6"/>
  <c r="O1367" i="6"/>
  <c r="O1368" i="6"/>
  <c r="O1369" i="6"/>
  <c r="O1370" i="6"/>
  <c r="O1371" i="6"/>
  <c r="O1372" i="6"/>
  <c r="O1373" i="6"/>
  <c r="O1374" i="6"/>
  <c r="O1375" i="6"/>
  <c r="O1376" i="6"/>
  <c r="O1377" i="6"/>
  <c r="O1378" i="6"/>
  <c r="O1379" i="6"/>
  <c r="O1380" i="6"/>
  <c r="O1381" i="6"/>
  <c r="O1382" i="6"/>
  <c r="O1383" i="6"/>
  <c r="O1384" i="6"/>
  <c r="O1385" i="6"/>
  <c r="O1386" i="6"/>
  <c r="O1387" i="6"/>
  <c r="O1388" i="6"/>
  <c r="O1389" i="6"/>
  <c r="O1390" i="6"/>
  <c r="O1391" i="6"/>
  <c r="O1392" i="6"/>
  <c r="O1393" i="6"/>
  <c r="O1394" i="6"/>
  <c r="O1395" i="6"/>
  <c r="O1396" i="6"/>
  <c r="O1397" i="6"/>
  <c r="O1398" i="6"/>
  <c r="O1399" i="6"/>
  <c r="O1400" i="6"/>
  <c r="O1401" i="6"/>
  <c r="O1402" i="6"/>
  <c r="O1403" i="6"/>
  <c r="O1404" i="6"/>
  <c r="O1405" i="6"/>
  <c r="O1406" i="6"/>
  <c r="O1407" i="6"/>
  <c r="O1408" i="6"/>
  <c r="O1409" i="6"/>
  <c r="O1410" i="6"/>
  <c r="O1411" i="6"/>
  <c r="O1412" i="6"/>
  <c r="O1413" i="6"/>
  <c r="O1414" i="6"/>
  <c r="O1415" i="6"/>
  <c r="O1416" i="6"/>
  <c r="O1417" i="6"/>
  <c r="O1418" i="6"/>
  <c r="O1419" i="6"/>
  <c r="O1420" i="6"/>
  <c r="O1421" i="6"/>
  <c r="O1422" i="6"/>
  <c r="O1423" i="6"/>
  <c r="O1424" i="6"/>
  <c r="O1425" i="6"/>
  <c r="O1426" i="6"/>
  <c r="O1427" i="6"/>
  <c r="O1428" i="6"/>
  <c r="O1429" i="6"/>
  <c r="O1430" i="6"/>
  <c r="O1431" i="6"/>
  <c r="O1432" i="6"/>
  <c r="O1433" i="6"/>
  <c r="O1434" i="6"/>
  <c r="O1435" i="6"/>
  <c r="O1436" i="6"/>
  <c r="O1437" i="6"/>
  <c r="O1438" i="6"/>
  <c r="O1439" i="6"/>
  <c r="O1440" i="6"/>
  <c r="O1441" i="6"/>
  <c r="O1442" i="6"/>
  <c r="O1443" i="6"/>
  <c r="O1444" i="6"/>
  <c r="O1445" i="6"/>
  <c r="O1446" i="6"/>
  <c r="O1447" i="6"/>
  <c r="O1448" i="6"/>
  <c r="O1449" i="6"/>
  <c r="O1471" i="6"/>
  <c r="O1472" i="6"/>
  <c r="O1474" i="6"/>
  <c r="O1475" i="6"/>
  <c r="O1476" i="6"/>
  <c r="O1477" i="6"/>
  <c r="O1478" i="6"/>
  <c r="O1479" i="6"/>
  <c r="O1480" i="6"/>
  <c r="O1481" i="6"/>
  <c r="O1523" i="6"/>
  <c r="O1524" i="6"/>
  <c r="O1525" i="6"/>
  <c r="O1526" i="6"/>
  <c r="O1527" i="6"/>
  <c r="O1537" i="6"/>
  <c r="O1538" i="6"/>
  <c r="O1539" i="6"/>
  <c r="O1540" i="6"/>
  <c r="O1541" i="6"/>
  <c r="O1542" i="6"/>
  <c r="O1548" i="6"/>
  <c r="O1549" i="6"/>
  <c r="O1550" i="6"/>
  <c r="O1567" i="6"/>
  <c r="O1568" i="6"/>
  <c r="O1569" i="6"/>
  <c r="O1570" i="6"/>
  <c r="O1571" i="6"/>
  <c r="O1572" i="6"/>
  <c r="O1573" i="6"/>
  <c r="O1574" i="6"/>
  <c r="O1529" i="6"/>
  <c r="O797" i="6"/>
  <c r="O809" i="6"/>
  <c r="O810" i="6"/>
  <c r="O811" i="6"/>
  <c r="O812" i="6"/>
  <c r="O813" i="6"/>
  <c r="O814" i="6"/>
  <c r="O815" i="6"/>
  <c r="O816" i="6"/>
  <c r="O955" i="6"/>
  <c r="O785" i="6"/>
  <c r="O786" i="6"/>
  <c r="O787" i="6"/>
  <c r="O788" i="6"/>
  <c r="O795" i="6"/>
  <c r="O796" i="6"/>
  <c r="O845" i="6"/>
  <c r="O846" i="6"/>
  <c r="O847" i="6"/>
  <c r="O848" i="6"/>
  <c r="O849" i="6"/>
  <c r="O850" i="6"/>
  <c r="O851" i="6"/>
  <c r="O852" i="6"/>
  <c r="O853" i="6"/>
  <c r="O866" i="6"/>
  <c r="O867" i="6"/>
  <c r="O868" i="6"/>
  <c r="O869" i="6"/>
  <c r="O870" i="6"/>
  <c r="O871" i="6"/>
  <c r="O872" i="6"/>
  <c r="O873" i="6"/>
  <c r="O878" i="6"/>
  <c r="O879" i="6"/>
  <c r="O880" i="6"/>
  <c r="O939" i="6"/>
  <c r="O956" i="6"/>
  <c r="O957" i="6"/>
  <c r="O961" i="6"/>
  <c r="O962" i="6"/>
  <c r="O963" i="6"/>
  <c r="O964" i="6"/>
  <c r="O965" i="6"/>
  <c r="O966" i="6"/>
  <c r="O969" i="6"/>
  <c r="O970" i="6"/>
  <c r="O971" i="6"/>
  <c r="O972" i="6"/>
  <c r="O973" i="6"/>
  <c r="O974" i="6"/>
  <c r="O975" i="6"/>
  <c r="O976" i="6"/>
  <c r="O1020" i="6"/>
  <c r="O1038" i="6"/>
  <c r="O1039" i="6"/>
  <c r="O1042" i="6"/>
  <c r="O1046" i="6"/>
  <c r="O1047" i="6"/>
  <c r="O1068" i="6"/>
  <c r="O1072" i="6"/>
  <c r="O1073" i="6"/>
  <c r="O1076" i="6"/>
  <c r="O1170" i="6"/>
  <c r="O1171" i="6"/>
  <c r="O1174" i="6"/>
  <c r="O1214" i="6"/>
  <c r="O1215" i="6"/>
  <c r="O1218" i="6"/>
  <c r="O1222" i="6"/>
  <c r="O1223" i="6"/>
  <c r="O1226" i="6"/>
  <c r="O1230" i="6"/>
  <c r="O1231" i="6"/>
  <c r="O1234" i="6"/>
  <c r="O1238" i="6"/>
  <c r="O1239" i="6"/>
  <c r="O1241" i="6"/>
  <c r="O1242" i="6"/>
  <c r="O1243" i="6"/>
  <c r="O1244" i="6"/>
  <c r="O1245" i="6"/>
  <c r="O1246" i="6"/>
  <c r="O1247" i="6"/>
  <c r="O1248" i="6"/>
  <c r="O1277" i="6"/>
  <c r="O1278" i="6"/>
  <c r="O1279" i="6"/>
  <c r="O1280" i="6"/>
  <c r="O1281" i="6"/>
  <c r="O1282" i="6"/>
  <c r="O1283" i="6"/>
  <c r="O1295" i="6"/>
  <c r="O1296" i="6"/>
  <c r="O1297" i="6"/>
  <c r="O1298" i="6"/>
  <c r="O1299" i="6"/>
  <c r="O1300" i="6"/>
  <c r="O1301" i="6"/>
  <c r="O1303" i="6"/>
  <c r="O1304" i="6"/>
  <c r="O1305" i="6"/>
  <c r="O1306" i="6"/>
  <c r="O1307" i="6"/>
  <c r="O1308" i="6"/>
  <c r="O1313" i="6"/>
  <c r="O1314" i="6"/>
  <c r="O1315" i="6"/>
  <c r="O1316" i="6"/>
  <c r="O1317" i="6"/>
  <c r="O1318" i="6"/>
  <c r="O1319" i="6"/>
  <c r="O1320" i="6"/>
  <c r="O1321" i="6"/>
  <c r="O1322" i="6"/>
  <c r="O1323" i="6"/>
  <c r="O1332" i="6"/>
  <c r="O1333" i="6"/>
  <c r="O1334" i="6"/>
  <c r="O1335" i="6"/>
  <c r="O1336" i="6"/>
  <c r="O1337" i="6"/>
  <c r="O1338" i="6"/>
  <c r="O1339" i="6"/>
  <c r="O1340" i="6"/>
  <c r="O1341" i="6"/>
  <c r="O1342" i="6"/>
  <c r="O1343" i="6"/>
  <c r="O1344" i="6"/>
  <c r="O1345" i="6"/>
  <c r="O1346" i="6"/>
  <c r="O1347" i="6"/>
  <c r="O1348" i="6"/>
  <c r="O1349" i="6"/>
  <c r="O1354" i="6"/>
  <c r="O1355" i="6"/>
  <c r="O1356" i="6"/>
  <c r="O1451" i="6"/>
  <c r="O1452" i="6"/>
  <c r="O1453" i="6"/>
  <c r="O1454" i="6"/>
  <c r="O1455" i="6"/>
  <c r="O1456" i="6"/>
  <c r="O1457" i="6"/>
  <c r="O1458" i="6"/>
  <c r="O1459" i="6"/>
  <c r="O1460" i="6"/>
  <c r="O1461" i="6"/>
  <c r="O1462" i="6"/>
  <c r="O1463" i="6"/>
  <c r="O1464" i="6"/>
  <c r="O1465" i="6"/>
  <c r="O1466" i="6"/>
  <c r="O1467" i="6"/>
  <c r="O1468" i="6"/>
  <c r="O1469" i="6"/>
  <c r="O1470" i="6"/>
  <c r="O1482" i="6"/>
  <c r="O1483" i="6"/>
  <c r="O1484" i="6"/>
  <c r="O1485" i="6"/>
  <c r="O1486" i="6"/>
  <c r="O1487" i="6"/>
  <c r="O1488" i="6"/>
  <c r="O1489" i="6"/>
  <c r="O1490" i="6"/>
  <c r="O1491" i="6"/>
  <c r="O1492" i="6"/>
  <c r="O1493" i="6"/>
  <c r="O1494" i="6"/>
  <c r="O1495" i="6"/>
  <c r="O1496" i="6"/>
  <c r="O1497" i="6"/>
  <c r="O1498" i="6"/>
  <c r="O1499" i="6"/>
  <c r="O1500" i="6"/>
  <c r="O1501" i="6"/>
  <c r="O1502" i="6"/>
  <c r="O1503" i="6"/>
  <c r="O1504" i="6"/>
  <c r="O1505" i="6"/>
  <c r="O1506" i="6"/>
  <c r="O1507" i="6"/>
  <c r="O1508" i="6"/>
  <c r="O1509" i="6"/>
  <c r="O1510" i="6"/>
  <c r="O1511" i="6"/>
  <c r="O1512" i="6"/>
  <c r="O1513" i="6"/>
  <c r="O1514" i="6"/>
  <c r="O1515" i="6"/>
  <c r="O1516" i="6"/>
  <c r="O1519" i="6"/>
  <c r="O1520" i="6"/>
  <c r="O1521" i="6"/>
  <c r="O1522" i="6"/>
  <c r="O1528" i="6"/>
  <c r="O1551" i="6"/>
  <c r="O1552" i="6"/>
  <c r="O1553" i="6"/>
  <c r="O1554" i="6"/>
  <c r="O1555" i="6"/>
  <c r="O1556" i="6"/>
  <c r="O1557" i="6"/>
  <c r="O1558" i="6"/>
  <c r="O1559" i="6"/>
  <c r="O1560" i="6"/>
  <c r="O1561" i="6"/>
  <c r="O1562" i="6"/>
  <c r="O1563" i="6"/>
  <c r="O1564" i="6"/>
  <c r="O1565" i="6"/>
  <c r="O1566" i="6"/>
  <c r="O82" i="6"/>
  <c r="O83" i="6"/>
  <c r="O86" i="6"/>
  <c r="O115" i="6"/>
  <c r="O116" i="6"/>
  <c r="O117" i="6"/>
  <c r="O118" i="6"/>
  <c r="O119" i="6"/>
  <c r="O120" i="6"/>
  <c r="O125" i="6"/>
  <c r="O126" i="6"/>
  <c r="O127" i="6"/>
  <c r="O128" i="6"/>
  <c r="O129" i="6"/>
  <c r="O135" i="6"/>
  <c r="O136" i="6"/>
  <c r="O137" i="6"/>
  <c r="O138" i="6"/>
  <c r="O139" i="6"/>
  <c r="O140" i="6"/>
  <c r="O141" i="6"/>
  <c r="O142" i="6"/>
  <c r="O143" i="6"/>
  <c r="O144" i="6"/>
  <c r="O145" i="6"/>
  <c r="O146" i="6"/>
  <c r="O147" i="6"/>
  <c r="O148" i="6"/>
  <c r="O149" i="6"/>
  <c r="O150" i="6"/>
  <c r="O151" i="6"/>
  <c r="O152" i="6"/>
  <c r="O153" i="6"/>
  <c r="O154" i="6"/>
  <c r="O155" i="6"/>
  <c r="O156" i="6"/>
  <c r="O157" i="6"/>
  <c r="O158" i="6"/>
  <c r="O159" i="6"/>
  <c r="O160" i="6"/>
  <c r="O161" i="6"/>
  <c r="O162" i="6"/>
  <c r="O163" i="6"/>
  <c r="O164" i="6"/>
  <c r="O165" i="6"/>
  <c r="O166" i="6"/>
  <c r="O167" i="6"/>
  <c r="O168" i="6"/>
  <c r="O169" i="6"/>
  <c r="O170" i="6"/>
  <c r="O171" i="6"/>
  <c r="O172" i="6"/>
  <c r="O173" i="6"/>
  <c r="O174" i="6"/>
  <c r="O175" i="6"/>
  <c r="O176" i="6"/>
  <c r="O177" i="6"/>
  <c r="O246" i="6"/>
  <c r="O247" i="6"/>
  <c r="O248" i="6"/>
  <c r="O249" i="6"/>
  <c r="O250" i="6"/>
  <c r="O254" i="6"/>
  <c r="O268" i="6"/>
  <c r="O269" i="6"/>
  <c r="O270" i="6"/>
  <c r="O271" i="6"/>
  <c r="O272" i="6"/>
  <c r="O275" i="6"/>
  <c r="O380" i="6"/>
  <c r="O381" i="6"/>
  <c r="O382" i="6"/>
  <c r="O383" i="6"/>
  <c r="O384" i="6"/>
  <c r="O399" i="6"/>
  <c r="O400" i="6"/>
  <c r="O401" i="6"/>
  <c r="O402" i="6"/>
  <c r="O403" i="6"/>
  <c r="O404" i="6"/>
  <c r="O438" i="6"/>
  <c r="O439" i="6"/>
  <c r="O440" i="6"/>
  <c r="O447" i="6"/>
  <c r="O448" i="6"/>
  <c r="O449" i="6"/>
  <c r="O450" i="6"/>
  <c r="O451" i="6"/>
  <c r="O452" i="6"/>
  <c r="O471" i="6"/>
  <c r="O505" i="6"/>
  <c r="O506" i="6"/>
  <c r="O568" i="6"/>
  <c r="O569" i="6"/>
  <c r="O570" i="6"/>
  <c r="O595" i="6"/>
  <c r="O596" i="6"/>
  <c r="O597" i="6"/>
  <c r="O598" i="6"/>
  <c r="O599" i="6"/>
  <c r="O600" i="6"/>
  <c r="O601" i="6"/>
  <c r="O602" i="6"/>
  <c r="O603" i="6"/>
  <c r="O604" i="6"/>
  <c r="O605" i="6"/>
  <c r="O606" i="6"/>
  <c r="O607" i="6"/>
  <c r="O608" i="6"/>
  <c r="O609" i="6"/>
  <c r="O610" i="6"/>
  <c r="O611" i="6"/>
  <c r="O612" i="6"/>
  <c r="O613" i="6"/>
  <c r="O614" i="6"/>
  <c r="O615" i="6"/>
  <c r="O616" i="6"/>
  <c r="O617" i="6"/>
  <c r="O618" i="6"/>
  <c r="O619" i="6"/>
  <c r="O620" i="6"/>
  <c r="O621" i="6"/>
  <c r="O622" i="6"/>
  <c r="O629" i="6"/>
  <c r="O632" i="6"/>
  <c r="O700" i="6"/>
  <c r="O701" i="6"/>
  <c r="O702" i="6"/>
  <c r="O703" i="6"/>
  <c r="O704" i="6"/>
  <c r="O705" i="6"/>
  <c r="O706" i="6"/>
  <c r="O707" i="6"/>
  <c r="O708" i="6"/>
  <c r="O709" i="6"/>
  <c r="O710" i="6"/>
  <c r="O711" i="6"/>
  <c r="O720" i="6"/>
  <c r="O723" i="6"/>
  <c r="O726" i="6"/>
  <c r="O727" i="6"/>
  <c r="O728" i="6"/>
  <c r="O729" i="6"/>
  <c r="O730" i="6"/>
  <c r="O731" i="6"/>
  <c r="O732" i="6"/>
  <c r="O733" i="6"/>
  <c r="O734" i="6"/>
  <c r="O735" i="6"/>
  <c r="O742" i="6"/>
  <c r="O743" i="6"/>
  <c r="O744" i="6"/>
  <c r="O745" i="6"/>
  <c r="O746" i="6"/>
  <c r="O747" i="6"/>
  <c r="O748" i="6"/>
  <c r="O749" i="6"/>
  <c r="O750" i="6"/>
  <c r="O751" i="6"/>
  <c r="O752" i="6"/>
  <c r="O753" i="6"/>
  <c r="O754" i="6"/>
  <c r="O755" i="6"/>
  <c r="O756" i="6"/>
  <c r="O757" i="6"/>
  <c r="O758" i="6"/>
  <c r="O759" i="6"/>
  <c r="O760" i="6"/>
  <c r="O761" i="6"/>
  <c r="O762" i="6"/>
  <c r="O763" i="6"/>
  <c r="O764" i="6"/>
  <c r="O765" i="6"/>
  <c r="O789" i="6"/>
  <c r="O790" i="6"/>
  <c r="O791" i="6"/>
  <c r="O792" i="6"/>
  <c r="O793" i="6"/>
  <c r="O794" i="6"/>
  <c r="O798" i="6"/>
  <c r="O799" i="6"/>
  <c r="O800" i="6"/>
  <c r="O801" i="6"/>
  <c r="O802" i="6"/>
  <c r="O803" i="6"/>
  <c r="O804" i="6"/>
  <c r="O805" i="6"/>
  <c r="O806" i="6"/>
  <c r="O807" i="6"/>
  <c r="O808" i="6"/>
  <c r="O817" i="6"/>
  <c r="O818" i="6"/>
  <c r="O819" i="6"/>
  <c r="O820" i="6"/>
  <c r="O821" i="6"/>
  <c r="O822" i="6"/>
  <c r="O823" i="6"/>
  <c r="O824" i="6"/>
  <c r="O825" i="6"/>
  <c r="O826" i="6"/>
  <c r="O827" i="6"/>
  <c r="O828" i="6"/>
  <c r="O940" i="6"/>
  <c r="O941" i="6"/>
  <c r="O942" i="6"/>
  <c r="O943" i="6"/>
  <c r="O944" i="6"/>
  <c r="O945" i="6"/>
  <c r="O946" i="6"/>
  <c r="O947" i="6"/>
  <c r="O948" i="6"/>
  <c r="O949" i="6"/>
  <c r="O950" i="6"/>
  <c r="O951" i="6"/>
  <c r="O958" i="6"/>
  <c r="O977" i="6"/>
  <c r="O978" i="6"/>
  <c r="O979" i="6"/>
  <c r="O981" i="6"/>
  <c r="O1049" i="6"/>
  <c r="O1050" i="6"/>
  <c r="O1064" i="6"/>
  <c r="O1065" i="6"/>
  <c r="O1066" i="6"/>
  <c r="O1067" i="6"/>
  <c r="O1078" i="6"/>
  <c r="O1079" i="6"/>
  <c r="O1254" i="6"/>
  <c r="O1255" i="6"/>
  <c r="O1256" i="6"/>
  <c r="O1257" i="6"/>
  <c r="O1258" i="6"/>
  <c r="O1259" i="6"/>
  <c r="O1260" i="6"/>
  <c r="O1261" i="6"/>
  <c r="O1262" i="6"/>
  <c r="O1263" i="6"/>
  <c r="O1264" i="6"/>
  <c r="O1265" i="6"/>
  <c r="O1266" i="6"/>
  <c r="O1267" i="6"/>
  <c r="O1268" i="6"/>
  <c r="O1269" i="6"/>
  <c r="O1270" i="6"/>
  <c r="O1271" i="6"/>
  <c r="O1272" i="6"/>
  <c r="O1273" i="6"/>
  <c r="O1274" i="6"/>
  <c r="O1275" i="6"/>
  <c r="O1276" i="6"/>
  <c r="O1302" i="6"/>
  <c r="O1309" i="6"/>
  <c r="O1310" i="6"/>
  <c r="O1311" i="6"/>
  <c r="O1324" i="6"/>
  <c r="O1325" i="6"/>
  <c r="O1326" i="6"/>
  <c r="O1327" i="6"/>
  <c r="O1328" i="6"/>
  <c r="O1329" i="6"/>
  <c r="O1330" i="6"/>
  <c r="O1331" i="6"/>
  <c r="O1361" i="6"/>
  <c r="O1450" i="6"/>
  <c r="O1473" i="6"/>
  <c r="O1534" i="6"/>
  <c r="O1535" i="6"/>
  <c r="O1536" i="6"/>
  <c r="O80" i="6"/>
  <c r="B112" i="19"/>
  <c r="O114" i="6" s="1"/>
  <c r="X187" i="6"/>
  <c r="X196" i="6"/>
  <c r="X205" i="6"/>
  <c r="X214" i="6"/>
  <c r="X223" i="6"/>
  <c r="X245" i="6"/>
  <c r="X259" i="6"/>
  <c r="X260" i="6"/>
  <c r="X261" i="6"/>
  <c r="X262" i="6"/>
  <c r="X263" i="6"/>
  <c r="X264" i="6"/>
  <c r="X265" i="6"/>
  <c r="X266" i="6"/>
  <c r="X267" i="6"/>
  <c r="X273" i="6"/>
  <c r="X287" i="6"/>
  <c r="X288" i="6"/>
  <c r="X289" i="6"/>
  <c r="X296" i="6"/>
  <c r="X297" i="6"/>
  <c r="X298" i="6"/>
  <c r="X299" i="6"/>
  <c r="X331" i="6"/>
  <c r="X332" i="6"/>
  <c r="X333" i="6"/>
  <c r="X334" i="6"/>
  <c r="X335" i="6"/>
  <c r="X336" i="6"/>
  <c r="X337" i="6"/>
  <c r="X338" i="6"/>
  <c r="X339" i="6"/>
  <c r="X340" i="6"/>
  <c r="X341" i="6"/>
  <c r="X342" i="6"/>
  <c r="X343" i="6"/>
  <c r="X344" i="6"/>
  <c r="X345" i="6"/>
  <c r="X346" i="6"/>
  <c r="X347" i="6"/>
  <c r="X348" i="6"/>
  <c r="X349" i="6"/>
  <c r="X350" i="6"/>
  <c r="X351" i="6"/>
  <c r="X352" i="6"/>
  <c r="X353" i="6"/>
  <c r="X354" i="6"/>
  <c r="X355" i="6"/>
  <c r="X356" i="6"/>
  <c r="X357" i="6"/>
  <c r="X358" i="6"/>
  <c r="X359" i="6"/>
  <c r="X360" i="6"/>
  <c r="X361" i="6"/>
  <c r="X362" i="6"/>
  <c r="X363" i="6"/>
  <c r="X364" i="6"/>
  <c r="X365" i="6"/>
  <c r="X366" i="6"/>
  <c r="X367" i="6"/>
  <c r="X368" i="6"/>
  <c r="X412" i="6"/>
  <c r="X413" i="6"/>
  <c r="X424" i="6"/>
  <c r="X425" i="6"/>
  <c r="X432" i="6"/>
  <c r="X433" i="6"/>
  <c r="X434" i="6"/>
  <c r="X435" i="6"/>
  <c r="X436" i="6"/>
  <c r="X437" i="6"/>
  <c r="X470" i="6"/>
  <c r="X553" i="6"/>
  <c r="X554" i="6"/>
  <c r="X555" i="6"/>
  <c r="X556" i="6"/>
  <c r="X557" i="6"/>
  <c r="X558" i="6"/>
  <c r="X559" i="6"/>
  <c r="X560" i="6"/>
  <c r="X561" i="6"/>
  <c r="X562" i="6"/>
  <c r="X563" i="6"/>
  <c r="X564" i="6"/>
  <c r="X623" i="6"/>
  <c r="X624" i="6"/>
  <c r="X625" i="6"/>
  <c r="X631" i="6"/>
  <c r="X669" i="6"/>
  <c r="X670" i="6"/>
  <c r="X671" i="6"/>
  <c r="X672" i="6"/>
  <c r="X673" i="6"/>
  <c r="X674" i="6"/>
  <c r="X675" i="6"/>
  <c r="X676" i="6"/>
  <c r="X677" i="6"/>
  <c r="X678" i="6"/>
  <c r="X679" i="6"/>
  <c r="X680" i="6"/>
  <c r="X681" i="6"/>
  <c r="X682" i="6"/>
  <c r="X683" i="6"/>
  <c r="X684" i="6"/>
  <c r="X685" i="6"/>
  <c r="X686" i="6"/>
  <c r="X687" i="6"/>
  <c r="X688" i="6"/>
  <c r="X689" i="6"/>
  <c r="X690" i="6"/>
  <c r="X691" i="6"/>
  <c r="X692" i="6"/>
  <c r="X693" i="6"/>
  <c r="X694" i="6"/>
  <c r="X695" i="6"/>
  <c r="X696" i="6"/>
  <c r="X697" i="6"/>
  <c r="X698" i="6"/>
  <c r="X699" i="6"/>
  <c r="X717" i="6"/>
  <c r="X718" i="6"/>
  <c r="X725" i="6"/>
  <c r="X766" i="6"/>
  <c r="X767" i="6"/>
  <c r="X768" i="6"/>
  <c r="X769" i="6"/>
  <c r="X770" i="6"/>
  <c r="X771" i="6"/>
  <c r="X772" i="6"/>
  <c r="X773" i="6"/>
  <c r="X774" i="6"/>
  <c r="X775" i="6"/>
  <c r="X776" i="6"/>
  <c r="X777" i="6"/>
  <c r="X778" i="6"/>
  <c r="X779" i="6"/>
  <c r="X780" i="6"/>
  <c r="X781" i="6"/>
  <c r="X782" i="6"/>
  <c r="X783" i="6"/>
  <c r="X784" i="6"/>
  <c r="X830" i="6"/>
  <c r="X831" i="6"/>
  <c r="X833" i="6"/>
  <c r="X834" i="6"/>
  <c r="X836" i="6"/>
  <c r="X837" i="6"/>
  <c r="X838" i="6"/>
  <c r="X839" i="6"/>
  <c r="X840" i="6"/>
  <c r="X885" i="6"/>
  <c r="X886" i="6"/>
  <c r="X887" i="6"/>
  <c r="X888" i="6"/>
  <c r="X889" i="6"/>
  <c r="X890" i="6"/>
  <c r="X891" i="6"/>
  <c r="X892" i="6"/>
  <c r="X937" i="6"/>
  <c r="X938" i="6"/>
  <c r="X952" i="6"/>
  <c r="X959" i="6"/>
  <c r="X967" i="6"/>
  <c r="X968" i="6"/>
  <c r="X994" i="6"/>
  <c r="X995" i="6"/>
  <c r="X996" i="6"/>
  <c r="X997" i="6"/>
  <c r="X998" i="6"/>
  <c r="X999" i="6"/>
  <c r="X1000" i="6"/>
  <c r="X1001" i="6"/>
  <c r="X1002" i="6"/>
  <c r="X1003" i="6"/>
  <c r="X1004" i="6"/>
  <c r="X1011" i="6"/>
  <c r="X1012" i="6"/>
  <c r="X1013" i="6"/>
  <c r="X1014" i="6"/>
  <c r="X1015" i="6"/>
  <c r="X1016" i="6"/>
  <c r="X1017" i="6"/>
  <c r="X1018" i="6"/>
  <c r="X1021" i="6"/>
  <c r="X1022" i="6"/>
  <c r="X1023" i="6"/>
  <c r="X1024" i="6"/>
  <c r="X1025" i="6"/>
  <c r="X1026" i="6"/>
  <c r="X1027" i="6"/>
  <c r="X1028" i="6"/>
  <c r="X1029" i="6"/>
  <c r="X1030" i="6"/>
  <c r="X1031" i="6"/>
  <c r="X1032" i="6"/>
  <c r="X1033" i="6"/>
  <c r="X1034" i="6"/>
  <c r="X1051" i="6"/>
  <c r="X1052" i="6"/>
  <c r="X1053" i="6"/>
  <c r="X1054" i="6"/>
  <c r="X1055" i="6"/>
  <c r="X1056" i="6"/>
  <c r="X1059" i="6"/>
  <c r="X1062" i="6"/>
  <c r="X1095" i="6"/>
  <c r="X1096" i="6"/>
  <c r="X1097" i="6"/>
  <c r="X1098" i="6"/>
  <c r="X1099" i="6"/>
  <c r="X1100" i="6"/>
  <c r="X1101" i="6"/>
  <c r="X1102" i="6"/>
  <c r="X1103" i="6"/>
  <c r="X1104" i="6"/>
  <c r="X1105" i="6"/>
  <c r="X1106" i="6"/>
  <c r="X1107" i="6"/>
  <c r="X1108" i="6"/>
  <c r="X1109" i="6"/>
  <c r="X1110" i="6"/>
  <c r="X1111" i="6"/>
  <c r="X1112" i="6"/>
  <c r="X1113" i="6"/>
  <c r="X1114" i="6"/>
  <c r="X1115" i="6"/>
  <c r="X1116" i="6"/>
  <c r="X1117" i="6"/>
  <c r="X1118" i="6"/>
  <c r="X1119" i="6"/>
  <c r="X1120" i="6"/>
  <c r="X1121" i="6"/>
  <c r="X1122" i="6"/>
  <c r="X1123" i="6"/>
  <c r="X1124" i="6"/>
  <c r="X1125" i="6"/>
  <c r="X1126" i="6"/>
  <c r="X1127" i="6"/>
  <c r="X1128" i="6"/>
  <c r="X1129" i="6"/>
  <c r="X1130" i="6"/>
  <c r="X1131" i="6"/>
  <c r="X1132" i="6"/>
  <c r="X1133" i="6"/>
  <c r="X1134" i="6"/>
  <c r="X1135" i="6"/>
  <c r="X1136" i="6"/>
  <c r="X1137" i="6"/>
  <c r="X1138" i="6"/>
  <c r="X1139" i="6"/>
  <c r="X1140" i="6"/>
  <c r="X1141" i="6"/>
  <c r="X1142" i="6"/>
  <c r="X1143" i="6"/>
  <c r="X1144" i="6"/>
  <c r="X1145" i="6"/>
  <c r="X1146" i="6"/>
  <c r="X1147" i="6"/>
  <c r="X1148" i="6"/>
  <c r="X1149" i="6"/>
  <c r="X1150" i="6"/>
  <c r="X1151" i="6"/>
  <c r="X1152" i="6"/>
  <c r="X1153" i="6"/>
  <c r="X1154" i="6"/>
  <c r="X1155" i="6"/>
  <c r="X1156" i="6"/>
  <c r="X1157" i="6"/>
  <c r="X1158" i="6"/>
  <c r="X1159" i="6"/>
  <c r="X1160" i="6"/>
  <c r="X1161" i="6"/>
  <c r="X1162" i="6"/>
  <c r="X1163" i="6"/>
  <c r="X1164" i="6"/>
  <c r="X1165" i="6"/>
  <c r="X1166" i="6"/>
  <c r="X1167" i="6"/>
  <c r="X1249" i="6"/>
  <c r="X1250" i="6"/>
  <c r="X1251" i="6"/>
  <c r="X1252" i="6"/>
  <c r="X1253" i="6"/>
  <c r="X1312" i="6"/>
  <c r="X1351" i="6"/>
  <c r="X1352" i="6"/>
  <c r="X1353" i="6"/>
  <c r="X1474" i="6"/>
  <c r="X1475" i="6"/>
  <c r="X1476" i="6"/>
  <c r="X1477" i="6"/>
  <c r="X1478" i="6"/>
  <c r="X1479" i="6"/>
  <c r="X1480" i="6"/>
  <c r="X1481" i="6"/>
  <c r="X1550" i="6"/>
  <c r="X1567" i="6"/>
  <c r="X1568" i="6"/>
  <c r="X1569" i="6"/>
  <c r="X1570" i="6"/>
  <c r="X1571" i="6"/>
  <c r="X1572" i="6"/>
  <c r="X1573" i="6"/>
  <c r="X1574" i="6"/>
  <c r="X1529" i="6"/>
  <c r="U1537" i="6"/>
  <c r="X1537" i="6" s="1"/>
  <c r="U1559" i="6"/>
  <c r="U1560" i="6"/>
  <c r="U1561" i="6"/>
  <c r="U1562" i="6"/>
  <c r="U1558" i="6"/>
  <c r="U1557" i="6"/>
  <c r="AE1556" i="6"/>
  <c r="AE1557" i="6"/>
  <c r="AE1555" i="6"/>
  <c r="AB1556" i="6"/>
  <c r="U1556" i="6" s="1"/>
  <c r="AB1555" i="6"/>
  <c r="U1554" i="6"/>
  <c r="U1553" i="6"/>
  <c r="U1552" i="6"/>
  <c r="U1551" i="6"/>
  <c r="U1549" i="6"/>
  <c r="X1549" i="6" s="1"/>
  <c r="U1528" i="6"/>
  <c r="U1527" i="6"/>
  <c r="X1527" i="6" s="1"/>
  <c r="AE1524" i="6"/>
  <c r="AB1524" i="6" s="1"/>
  <c r="U1524" i="6" s="1"/>
  <c r="X1524" i="6" s="1"/>
  <c r="AE1525" i="6"/>
  <c r="AE1526" i="6"/>
  <c r="AB1526" i="6"/>
  <c r="U1526" i="6" s="1"/>
  <c r="X1526" i="6" s="1"/>
  <c r="AB1525" i="6"/>
  <c r="U1525" i="6" s="1"/>
  <c r="X1525" i="6" s="1"/>
  <c r="AE1523" i="6"/>
  <c r="AB1523" i="6" s="1"/>
  <c r="U1523" i="6" s="1"/>
  <c r="X1523" i="6" s="1"/>
  <c r="AB1510" i="6"/>
  <c r="U1491" i="6"/>
  <c r="U1492" i="6"/>
  <c r="U1493" i="6"/>
  <c r="U1494" i="6"/>
  <c r="U1495" i="6"/>
  <c r="U1496" i="6"/>
  <c r="U1497" i="6"/>
  <c r="U1498" i="6"/>
  <c r="U1499" i="6"/>
  <c r="U1500" i="6"/>
  <c r="U1501" i="6"/>
  <c r="U1502" i="6"/>
  <c r="U1503" i="6"/>
  <c r="U1504" i="6"/>
  <c r="U1505" i="6"/>
  <c r="U1506" i="6"/>
  <c r="U1507" i="6"/>
  <c r="U1508" i="6"/>
  <c r="U1509" i="6"/>
  <c r="U1490" i="6"/>
  <c r="U1472" i="6"/>
  <c r="X1472" i="6" s="1"/>
  <c r="U1471" i="6"/>
  <c r="X1471" i="6" s="1"/>
  <c r="U1470" i="6"/>
  <c r="U1469" i="6"/>
  <c r="AB1468" i="6"/>
  <c r="U1468" i="6" s="1"/>
  <c r="AB1467" i="6"/>
  <c r="U1467" i="6" s="1"/>
  <c r="U1460" i="6"/>
  <c r="U1461" i="6"/>
  <c r="U1462" i="6"/>
  <c r="U1463" i="6"/>
  <c r="U1464" i="6"/>
  <c r="U1465" i="6"/>
  <c r="U1466" i="6"/>
  <c r="U1459" i="6"/>
  <c r="U1454" i="6"/>
  <c r="U1455" i="6"/>
  <c r="U1456" i="6"/>
  <c r="U1457" i="6"/>
  <c r="U1458" i="6"/>
  <c r="U1453" i="6"/>
  <c r="U1431" i="6"/>
  <c r="X1431" i="6" s="1"/>
  <c r="U1432" i="6"/>
  <c r="X1432" i="6" s="1"/>
  <c r="U1433" i="6"/>
  <c r="X1433" i="6" s="1"/>
  <c r="U1434" i="6"/>
  <c r="X1434" i="6" s="1"/>
  <c r="U1435" i="6"/>
  <c r="X1435" i="6" s="1"/>
  <c r="U1436" i="6"/>
  <c r="X1436" i="6" s="1"/>
  <c r="U1437" i="6"/>
  <c r="X1437" i="6" s="1"/>
  <c r="U1438" i="6"/>
  <c r="X1438" i="6" s="1"/>
  <c r="U1439" i="6"/>
  <c r="X1439" i="6" s="1"/>
  <c r="U1440" i="6"/>
  <c r="X1440" i="6" s="1"/>
  <c r="U1441" i="6"/>
  <c r="X1441" i="6" s="1"/>
  <c r="U1442" i="6"/>
  <c r="X1442" i="6" s="1"/>
  <c r="U1443" i="6"/>
  <c r="X1443" i="6" s="1"/>
  <c r="U1444" i="6"/>
  <c r="X1444" i="6" s="1"/>
  <c r="U1445" i="6"/>
  <c r="X1445" i="6" s="1"/>
  <c r="U1446" i="6"/>
  <c r="X1446" i="6" s="1"/>
  <c r="U1447" i="6"/>
  <c r="X1447" i="6" s="1"/>
  <c r="U1448" i="6"/>
  <c r="X1448" i="6" s="1"/>
  <c r="U1449" i="6"/>
  <c r="X1449" i="6" s="1"/>
  <c r="U1430" i="6"/>
  <c r="X1430" i="6" s="1"/>
  <c r="U1429" i="6"/>
  <c r="X1429" i="6" s="1"/>
  <c r="U1363" i="6"/>
  <c r="X1363" i="6" s="1"/>
  <c r="U1364" i="6"/>
  <c r="X1364" i="6" s="1"/>
  <c r="U1365" i="6"/>
  <c r="X1365" i="6" s="1"/>
  <c r="U1366" i="6"/>
  <c r="X1366" i="6" s="1"/>
  <c r="U1367" i="6"/>
  <c r="X1367" i="6" s="1"/>
  <c r="U1368" i="6"/>
  <c r="X1368" i="6" s="1"/>
  <c r="U1369" i="6"/>
  <c r="X1369" i="6" s="1"/>
  <c r="U1370" i="6"/>
  <c r="X1370" i="6" s="1"/>
  <c r="U1371" i="6"/>
  <c r="X1371" i="6" s="1"/>
  <c r="U1372" i="6"/>
  <c r="X1372" i="6" s="1"/>
  <c r="U1373" i="6"/>
  <c r="X1373" i="6" s="1"/>
  <c r="U1374" i="6"/>
  <c r="X1374" i="6" s="1"/>
  <c r="U1375" i="6"/>
  <c r="X1375" i="6" s="1"/>
  <c r="U1376" i="6"/>
  <c r="X1376" i="6" s="1"/>
  <c r="U1377" i="6"/>
  <c r="X1377" i="6" s="1"/>
  <c r="U1378" i="6"/>
  <c r="X1378" i="6" s="1"/>
  <c r="U1379" i="6"/>
  <c r="X1379" i="6" s="1"/>
  <c r="U1380" i="6"/>
  <c r="X1380" i="6" s="1"/>
  <c r="U1381" i="6"/>
  <c r="X1381" i="6" s="1"/>
  <c r="U1382" i="6"/>
  <c r="X1382" i="6" s="1"/>
  <c r="U1383" i="6"/>
  <c r="X1383" i="6" s="1"/>
  <c r="U1384" i="6"/>
  <c r="X1384" i="6" s="1"/>
  <c r="U1385" i="6"/>
  <c r="X1385" i="6" s="1"/>
  <c r="U1386" i="6"/>
  <c r="X1386" i="6" s="1"/>
  <c r="U1387" i="6"/>
  <c r="X1387" i="6" s="1"/>
  <c r="U1388" i="6"/>
  <c r="X1388" i="6" s="1"/>
  <c r="U1389" i="6"/>
  <c r="X1389" i="6" s="1"/>
  <c r="U1390" i="6"/>
  <c r="X1390" i="6" s="1"/>
  <c r="U1391" i="6"/>
  <c r="X1391" i="6" s="1"/>
  <c r="U1392" i="6"/>
  <c r="X1392" i="6" s="1"/>
  <c r="U1393" i="6"/>
  <c r="X1393" i="6" s="1"/>
  <c r="U1394" i="6"/>
  <c r="X1394" i="6" s="1"/>
  <c r="U1395" i="6"/>
  <c r="X1395" i="6" s="1"/>
  <c r="U1396" i="6"/>
  <c r="X1396" i="6" s="1"/>
  <c r="U1397" i="6"/>
  <c r="X1397" i="6" s="1"/>
  <c r="U1398" i="6"/>
  <c r="X1398" i="6" s="1"/>
  <c r="U1399" i="6"/>
  <c r="X1399" i="6" s="1"/>
  <c r="U1400" i="6"/>
  <c r="X1400" i="6" s="1"/>
  <c r="U1401" i="6"/>
  <c r="X1401" i="6" s="1"/>
  <c r="U1402" i="6"/>
  <c r="X1402" i="6" s="1"/>
  <c r="U1403" i="6"/>
  <c r="X1403" i="6" s="1"/>
  <c r="U1404" i="6"/>
  <c r="X1404" i="6" s="1"/>
  <c r="U1405" i="6"/>
  <c r="X1405" i="6" s="1"/>
  <c r="U1406" i="6"/>
  <c r="X1406" i="6" s="1"/>
  <c r="U1407" i="6"/>
  <c r="X1407" i="6" s="1"/>
  <c r="U1408" i="6"/>
  <c r="X1408" i="6" s="1"/>
  <c r="U1409" i="6"/>
  <c r="X1409" i="6" s="1"/>
  <c r="U1410" i="6"/>
  <c r="X1410" i="6" s="1"/>
  <c r="U1411" i="6"/>
  <c r="X1411" i="6" s="1"/>
  <c r="U1412" i="6"/>
  <c r="X1412" i="6" s="1"/>
  <c r="U1413" i="6"/>
  <c r="X1413" i="6" s="1"/>
  <c r="U1414" i="6"/>
  <c r="X1414" i="6" s="1"/>
  <c r="U1415" i="6"/>
  <c r="X1415" i="6" s="1"/>
  <c r="U1416" i="6"/>
  <c r="X1416" i="6" s="1"/>
  <c r="U1417" i="6"/>
  <c r="X1417" i="6" s="1"/>
  <c r="U1418" i="6"/>
  <c r="X1418" i="6" s="1"/>
  <c r="U1419" i="6"/>
  <c r="X1419" i="6" s="1"/>
  <c r="U1420" i="6"/>
  <c r="X1420" i="6" s="1"/>
  <c r="U1421" i="6"/>
  <c r="X1421" i="6" s="1"/>
  <c r="U1422" i="6"/>
  <c r="X1422" i="6" s="1"/>
  <c r="U1423" i="6"/>
  <c r="X1423" i="6" s="1"/>
  <c r="U1424" i="6"/>
  <c r="X1424" i="6" s="1"/>
  <c r="U1425" i="6"/>
  <c r="X1425" i="6" s="1"/>
  <c r="U1426" i="6"/>
  <c r="X1426" i="6" s="1"/>
  <c r="U1427" i="6"/>
  <c r="X1427" i="6" s="1"/>
  <c r="U1428" i="6"/>
  <c r="X1428" i="6" s="1"/>
  <c r="U1362" i="6"/>
  <c r="X1362" i="6" s="1"/>
  <c r="U1360" i="6"/>
  <c r="X1360" i="6" s="1"/>
  <c r="U1358" i="6"/>
  <c r="X1358" i="6" s="1"/>
  <c r="U1359" i="6"/>
  <c r="X1359" i="6" s="1"/>
  <c r="U1357" i="6"/>
  <c r="X1357" i="6" s="1"/>
  <c r="U1350" i="6"/>
  <c r="X1350" i="6" s="1"/>
  <c r="U1348" i="6"/>
  <c r="U1347" i="6"/>
  <c r="U1349" i="6"/>
  <c r="U1332" i="6"/>
  <c r="U1333" i="6"/>
  <c r="U1334" i="6"/>
  <c r="U1335" i="6"/>
  <c r="U1337" i="6"/>
  <c r="U1338" i="6"/>
  <c r="U1339" i="6"/>
  <c r="U1340" i="6"/>
  <c r="U1341" i="6"/>
  <c r="U1342" i="6"/>
  <c r="U1343" i="6"/>
  <c r="U1344" i="6"/>
  <c r="U1345" i="6"/>
  <c r="U1346" i="6"/>
  <c r="U1336" i="6"/>
  <c r="U1317" i="6"/>
  <c r="U1318" i="6"/>
  <c r="U1319" i="6"/>
  <c r="U1316" i="6"/>
  <c r="U1321" i="6"/>
  <c r="U1322" i="6"/>
  <c r="U1323" i="6"/>
  <c r="U1320" i="6"/>
  <c r="U1286" i="6"/>
  <c r="X1286" i="6" s="1"/>
  <c r="U1289" i="6"/>
  <c r="X1289" i="6" s="1"/>
  <c r="U1287" i="6"/>
  <c r="X1287" i="6" s="1"/>
  <c r="U1290" i="6"/>
  <c r="X1290" i="6" s="1"/>
  <c r="U1291" i="6"/>
  <c r="X1291" i="6" s="1"/>
  <c r="U1292" i="6"/>
  <c r="X1292" i="6" s="1"/>
  <c r="U1293" i="6"/>
  <c r="X1293" i="6" s="1"/>
  <c r="U1294" i="6"/>
  <c r="X1294" i="6" s="1"/>
  <c r="U1288" i="6"/>
  <c r="X1288" i="6" s="1"/>
  <c r="U1283" i="6"/>
  <c r="AE1248" i="6"/>
  <c r="AE1246" i="6"/>
  <c r="U1246" i="6" s="1"/>
  <c r="AE1247" i="6"/>
  <c r="AE1245" i="6"/>
  <c r="U1245" i="6" s="1"/>
  <c r="U1243" i="6"/>
  <c r="U1244" i="6"/>
  <c r="U1242" i="6"/>
  <c r="AB1197" i="6"/>
  <c r="U1197" i="6" s="1"/>
  <c r="X1197" i="6" s="1"/>
  <c r="AB1211" i="6"/>
  <c r="U1211" i="6" s="1"/>
  <c r="X1211" i="6" s="1"/>
  <c r="AB1210" i="6"/>
  <c r="U1210" i="6" s="1"/>
  <c r="X1210" i="6" s="1"/>
  <c r="AB1209" i="6"/>
  <c r="U1209" i="6" s="1"/>
  <c r="X1209" i="6" s="1"/>
  <c r="AB1208" i="6"/>
  <c r="U1208" i="6" s="1"/>
  <c r="X1208" i="6" s="1"/>
  <c r="AB1207" i="6"/>
  <c r="U1207" i="6" s="1"/>
  <c r="X1207" i="6" s="1"/>
  <c r="AB1206" i="6"/>
  <c r="U1206" i="6" s="1"/>
  <c r="X1206" i="6" s="1"/>
  <c r="AB1205" i="6"/>
  <c r="U1205" i="6" s="1"/>
  <c r="X1205" i="6" s="1"/>
  <c r="AB1204" i="6"/>
  <c r="U1204" i="6" s="1"/>
  <c r="X1204" i="6" s="1"/>
  <c r="AB1203" i="6"/>
  <c r="U1203" i="6" s="1"/>
  <c r="X1203" i="6" s="1"/>
  <c r="AB1202" i="6"/>
  <c r="U1202" i="6" s="1"/>
  <c r="X1202" i="6" s="1"/>
  <c r="AB1201" i="6"/>
  <c r="U1201" i="6" s="1"/>
  <c r="X1201" i="6" s="1"/>
  <c r="AB1200" i="6"/>
  <c r="U1200" i="6" s="1"/>
  <c r="X1200" i="6" s="1"/>
  <c r="AB1199" i="6"/>
  <c r="U1199" i="6" s="1"/>
  <c r="X1199" i="6" s="1"/>
  <c r="AB1198" i="6"/>
  <c r="U1198" i="6" s="1"/>
  <c r="X1198" i="6" s="1"/>
  <c r="AB1196" i="6"/>
  <c r="U1196" i="6" s="1"/>
  <c r="X1196" i="6" s="1"/>
  <c r="AB1195" i="6"/>
  <c r="U1195" i="6" s="1"/>
  <c r="X1195" i="6" s="1"/>
  <c r="AB1194" i="6"/>
  <c r="U1194" i="6" s="1"/>
  <c r="X1194" i="6" s="1"/>
  <c r="AB1193" i="6"/>
  <c r="U1193" i="6" s="1"/>
  <c r="X1193" i="6" s="1"/>
  <c r="AB1192" i="6"/>
  <c r="U1192" i="6" s="1"/>
  <c r="X1192" i="6" s="1"/>
  <c r="AB1191" i="6"/>
  <c r="U1191" i="6" s="1"/>
  <c r="X1191" i="6" s="1"/>
  <c r="AB1190" i="6"/>
  <c r="U1190" i="6" s="1"/>
  <c r="X1190" i="6" s="1"/>
  <c r="AB1189" i="6"/>
  <c r="U1189" i="6" s="1"/>
  <c r="X1189" i="6" s="1"/>
  <c r="AB1188" i="6"/>
  <c r="U1188" i="6" s="1"/>
  <c r="X1188" i="6" s="1"/>
  <c r="AB1182" i="6"/>
  <c r="U1182" i="6" s="1"/>
  <c r="X1182" i="6" s="1"/>
  <c r="AB1183" i="6"/>
  <c r="U1183" i="6" s="1"/>
  <c r="X1183" i="6" s="1"/>
  <c r="AB1181" i="6"/>
  <c r="U1181" i="6" s="1"/>
  <c r="X1181" i="6" s="1"/>
  <c r="AB1178" i="6"/>
  <c r="U1178" i="6" s="1"/>
  <c r="X1178" i="6" s="1"/>
  <c r="AB1179" i="6"/>
  <c r="U1179" i="6" s="1"/>
  <c r="X1179" i="6" s="1"/>
  <c r="AB1177" i="6"/>
  <c r="U1177" i="6" s="1"/>
  <c r="X1177" i="6" s="1"/>
  <c r="AB1186" i="6"/>
  <c r="U1186" i="6" s="1"/>
  <c r="X1186" i="6" s="1"/>
  <c r="AB1187" i="6"/>
  <c r="U1187" i="6" s="1"/>
  <c r="X1187" i="6" s="1"/>
  <c r="AB1180" i="6"/>
  <c r="U1180" i="6" s="1"/>
  <c r="X1180" i="6" s="1"/>
  <c r="AB1176" i="6"/>
  <c r="U1176" i="6" s="1"/>
  <c r="X1176" i="6" s="1"/>
  <c r="AB1185" i="6"/>
  <c r="U1185" i="6" s="1"/>
  <c r="X1185" i="6" s="1"/>
  <c r="AB1184" i="6"/>
  <c r="U1184" i="6" s="1"/>
  <c r="X1184" i="6" s="1"/>
  <c r="U1169" i="6"/>
  <c r="U1170" i="6"/>
  <c r="U1171" i="6"/>
  <c r="U1172" i="6"/>
  <c r="U1173" i="6"/>
  <c r="U1174" i="6"/>
  <c r="U1175" i="6"/>
  <c r="U1168" i="6"/>
  <c r="U1094" i="6"/>
  <c r="X1094" i="6" s="1"/>
  <c r="U1093" i="6"/>
  <c r="X1093" i="6" s="1"/>
  <c r="U1092" i="6"/>
  <c r="X1092" i="6" s="1"/>
  <c r="U1091" i="6"/>
  <c r="X1091" i="6" s="1"/>
  <c r="U1090" i="6"/>
  <c r="X1090" i="6" s="1"/>
  <c r="U1089" i="6"/>
  <c r="X1089" i="6" s="1"/>
  <c r="U1088" i="6"/>
  <c r="X1088" i="6" s="1"/>
  <c r="U1087" i="6"/>
  <c r="X1087" i="6" s="1"/>
  <c r="U1086" i="6"/>
  <c r="X1086" i="6" s="1"/>
  <c r="U1085" i="6"/>
  <c r="X1085" i="6" s="1"/>
  <c r="U1084" i="6"/>
  <c r="X1084" i="6" s="1"/>
  <c r="U1083" i="6"/>
  <c r="X1083" i="6" s="1"/>
  <c r="U1082" i="6"/>
  <c r="X1082" i="6" s="1"/>
  <c r="U1081" i="6"/>
  <c r="X1081" i="6" s="1"/>
  <c r="U1080" i="6"/>
  <c r="X1080" i="6" s="1"/>
  <c r="AE1069" i="6"/>
  <c r="U1069" i="6" s="1"/>
  <c r="AE1070" i="6"/>
  <c r="U1070" i="6" s="1"/>
  <c r="AE1071" i="6"/>
  <c r="U1071" i="6" s="1"/>
  <c r="AE1072" i="6"/>
  <c r="U1072" i="6" s="1"/>
  <c r="AE1073" i="6"/>
  <c r="U1073" i="6" s="1"/>
  <c r="AE1074" i="6"/>
  <c r="U1074" i="6" s="1"/>
  <c r="AE1075" i="6"/>
  <c r="U1075" i="6" s="1"/>
  <c r="AE1076" i="6"/>
  <c r="U1076" i="6" s="1"/>
  <c r="AE1077" i="6"/>
  <c r="U1077" i="6" s="1"/>
  <c r="AE1068" i="6"/>
  <c r="U1068" i="6" s="1"/>
  <c r="U1058" i="6"/>
  <c r="X1058" i="6" s="1"/>
  <c r="U1057" i="6"/>
  <c r="X1057" i="6" s="1"/>
  <c r="S1061" i="6"/>
  <c r="U1061" i="6" s="1"/>
  <c r="X1061" i="6" s="1"/>
  <c r="S1060" i="6"/>
  <c r="U1060" i="6" s="1"/>
  <c r="X1060" i="6" s="1"/>
  <c r="U1036" i="6"/>
  <c r="U1037" i="6"/>
  <c r="U1038" i="6"/>
  <c r="U1039" i="6"/>
  <c r="U1040" i="6"/>
  <c r="U1041" i="6"/>
  <c r="U1042" i="6"/>
  <c r="U1043" i="6"/>
  <c r="U1044" i="6"/>
  <c r="U1045" i="6"/>
  <c r="U1046" i="6"/>
  <c r="U1047" i="6"/>
  <c r="U1048" i="6"/>
  <c r="U1035" i="6"/>
  <c r="U1006" i="6"/>
  <c r="X1006" i="6" s="1"/>
  <c r="U1007" i="6"/>
  <c r="X1007" i="6" s="1"/>
  <c r="U1008" i="6"/>
  <c r="X1008" i="6" s="1"/>
  <c r="U1009" i="6"/>
  <c r="X1009" i="6" s="1"/>
  <c r="U1010" i="6"/>
  <c r="X1010" i="6" s="1"/>
  <c r="U1005" i="6"/>
  <c r="X1005" i="6" s="1"/>
  <c r="U985" i="6"/>
  <c r="X985" i="6" s="1"/>
  <c r="U986" i="6"/>
  <c r="X986" i="6" s="1"/>
  <c r="U987" i="6"/>
  <c r="X987" i="6" s="1"/>
  <c r="U988" i="6"/>
  <c r="X988" i="6" s="1"/>
  <c r="U989" i="6"/>
  <c r="X989" i="6" s="1"/>
  <c r="U990" i="6"/>
  <c r="X990" i="6" s="1"/>
  <c r="U991" i="6"/>
  <c r="X991" i="6" s="1"/>
  <c r="U992" i="6"/>
  <c r="X992" i="6" s="1"/>
  <c r="U993" i="6"/>
  <c r="X993" i="6" s="1"/>
  <c r="U984" i="6"/>
  <c r="X984" i="6" s="1"/>
  <c r="U983" i="6"/>
  <c r="X983" i="6" s="1"/>
  <c r="U982" i="6"/>
  <c r="X982" i="6" s="1"/>
  <c r="U980" i="6"/>
  <c r="X980" i="6" s="1"/>
  <c r="AB978" i="6"/>
  <c r="AB979" i="6"/>
  <c r="AB977" i="6"/>
  <c r="AE972" i="6"/>
  <c r="U972" i="6" s="1"/>
  <c r="AE973" i="6"/>
  <c r="U973" i="6" s="1"/>
  <c r="AE974" i="6"/>
  <c r="U974" i="6" s="1"/>
  <c r="AE975" i="6"/>
  <c r="U975" i="6" s="1"/>
  <c r="AE976" i="6"/>
  <c r="U976" i="6" s="1"/>
  <c r="AB970" i="6"/>
  <c r="U970" i="6" s="1"/>
  <c r="AB971" i="6"/>
  <c r="U971" i="6" s="1"/>
  <c r="AB969" i="6"/>
  <c r="U969" i="6" s="1"/>
  <c r="U960" i="6"/>
  <c r="X960" i="6" s="1"/>
  <c r="U954" i="6"/>
  <c r="X954" i="6" s="1"/>
  <c r="U953" i="6"/>
  <c r="X953" i="6" s="1"/>
  <c r="AE939" i="6"/>
  <c r="AB939" i="6"/>
  <c r="U894" i="6"/>
  <c r="X894" i="6" s="1"/>
  <c r="U895" i="6"/>
  <c r="X895" i="6" s="1"/>
  <c r="U896" i="6"/>
  <c r="X896" i="6" s="1"/>
  <c r="U897" i="6"/>
  <c r="X897" i="6" s="1"/>
  <c r="U898" i="6"/>
  <c r="X898" i="6" s="1"/>
  <c r="U899" i="6"/>
  <c r="X899" i="6" s="1"/>
  <c r="U900" i="6"/>
  <c r="X900" i="6" s="1"/>
  <c r="U901" i="6"/>
  <c r="X901" i="6" s="1"/>
  <c r="U902" i="6"/>
  <c r="X902" i="6" s="1"/>
  <c r="U903" i="6"/>
  <c r="X903" i="6" s="1"/>
  <c r="U904" i="6"/>
  <c r="X904" i="6" s="1"/>
  <c r="U905" i="6"/>
  <c r="X905" i="6" s="1"/>
  <c r="U906" i="6"/>
  <c r="X906" i="6" s="1"/>
  <c r="U907" i="6"/>
  <c r="X907" i="6" s="1"/>
  <c r="U908" i="6"/>
  <c r="X908" i="6" s="1"/>
  <c r="U909" i="6"/>
  <c r="X909" i="6" s="1"/>
  <c r="U910" i="6"/>
  <c r="X910" i="6" s="1"/>
  <c r="U911" i="6"/>
  <c r="X911" i="6" s="1"/>
  <c r="U912" i="6"/>
  <c r="X912" i="6" s="1"/>
  <c r="U913" i="6"/>
  <c r="X913" i="6" s="1"/>
  <c r="U914" i="6"/>
  <c r="X914" i="6" s="1"/>
  <c r="U915" i="6"/>
  <c r="X915" i="6" s="1"/>
  <c r="U916" i="6"/>
  <c r="X916" i="6" s="1"/>
  <c r="U917" i="6"/>
  <c r="X917" i="6" s="1"/>
  <c r="U918" i="6"/>
  <c r="X918" i="6" s="1"/>
  <c r="U919" i="6"/>
  <c r="X919" i="6" s="1"/>
  <c r="U920" i="6"/>
  <c r="X920" i="6" s="1"/>
  <c r="U921" i="6"/>
  <c r="X921" i="6" s="1"/>
  <c r="U922" i="6"/>
  <c r="X922" i="6" s="1"/>
  <c r="U923" i="6"/>
  <c r="X923" i="6" s="1"/>
  <c r="U924" i="6"/>
  <c r="X924" i="6" s="1"/>
  <c r="U925" i="6"/>
  <c r="X925" i="6" s="1"/>
  <c r="U926" i="6"/>
  <c r="X926" i="6" s="1"/>
  <c r="U927" i="6"/>
  <c r="X927" i="6" s="1"/>
  <c r="U928" i="6"/>
  <c r="X928" i="6" s="1"/>
  <c r="U929" i="6"/>
  <c r="X929" i="6" s="1"/>
  <c r="U930" i="6"/>
  <c r="X930" i="6" s="1"/>
  <c r="U931" i="6"/>
  <c r="X931" i="6" s="1"/>
  <c r="U932" i="6"/>
  <c r="X932" i="6" s="1"/>
  <c r="U933" i="6"/>
  <c r="X933" i="6" s="1"/>
  <c r="U934" i="6"/>
  <c r="X934" i="6" s="1"/>
  <c r="U935" i="6"/>
  <c r="X935" i="6" s="1"/>
  <c r="U936" i="6"/>
  <c r="X936" i="6" s="1"/>
  <c r="U893" i="6"/>
  <c r="X893" i="6" s="1"/>
  <c r="U882" i="6"/>
  <c r="X882" i="6" s="1"/>
  <c r="U883" i="6"/>
  <c r="X883" i="6" s="1"/>
  <c r="U884" i="6"/>
  <c r="X884" i="6" s="1"/>
  <c r="U881" i="6"/>
  <c r="X881" i="6" s="1"/>
  <c r="AE880" i="6"/>
  <c r="U880" i="6" s="1"/>
  <c r="AE879" i="6"/>
  <c r="U879" i="6" s="1"/>
  <c r="AE878" i="6"/>
  <c r="U878" i="6" s="1"/>
  <c r="U877" i="6"/>
  <c r="X877" i="6" s="1"/>
  <c r="U876" i="6"/>
  <c r="X876" i="6" s="1"/>
  <c r="U875" i="6"/>
  <c r="X875" i="6" s="1"/>
  <c r="U874" i="6"/>
  <c r="X874" i="6" s="1"/>
  <c r="U867" i="6"/>
  <c r="U868" i="6"/>
  <c r="U869" i="6"/>
  <c r="U870" i="6"/>
  <c r="U871" i="6"/>
  <c r="U872" i="6"/>
  <c r="U873" i="6"/>
  <c r="U866" i="6"/>
  <c r="U855" i="6"/>
  <c r="X855" i="6" s="1"/>
  <c r="U856" i="6"/>
  <c r="X856" i="6" s="1"/>
  <c r="U857" i="6"/>
  <c r="X857" i="6" s="1"/>
  <c r="U858" i="6"/>
  <c r="X858" i="6" s="1"/>
  <c r="U859" i="6"/>
  <c r="X859" i="6" s="1"/>
  <c r="U860" i="6"/>
  <c r="X860" i="6" s="1"/>
  <c r="U861" i="6"/>
  <c r="X861" i="6" s="1"/>
  <c r="U862" i="6"/>
  <c r="X862" i="6" s="1"/>
  <c r="U863" i="6"/>
  <c r="X863" i="6" s="1"/>
  <c r="U864" i="6"/>
  <c r="X864" i="6" s="1"/>
  <c r="U865" i="6"/>
  <c r="X865" i="6" s="1"/>
  <c r="U854" i="6"/>
  <c r="X854" i="6" s="1"/>
  <c r="AB846" i="6"/>
  <c r="U846" i="6" s="1"/>
  <c r="AB847" i="6"/>
  <c r="U847" i="6" s="1"/>
  <c r="AB848" i="6"/>
  <c r="U848" i="6" s="1"/>
  <c r="AB849" i="6"/>
  <c r="U849" i="6" s="1"/>
  <c r="AB850" i="6"/>
  <c r="U850" i="6" s="1"/>
  <c r="AB851" i="6"/>
  <c r="U851" i="6" s="1"/>
  <c r="AB852" i="6"/>
  <c r="U852" i="6" s="1"/>
  <c r="AB853" i="6"/>
  <c r="U853" i="6" s="1"/>
  <c r="AB845" i="6"/>
  <c r="U845" i="6" s="1"/>
  <c r="U835" i="6"/>
  <c r="X835" i="6" s="1"/>
  <c r="U832" i="6"/>
  <c r="X832" i="6" s="1"/>
  <c r="U829" i="6"/>
  <c r="X829" i="6" s="1"/>
  <c r="U842" i="6"/>
  <c r="X842" i="6" s="1"/>
  <c r="U843" i="6"/>
  <c r="X843" i="6" s="1"/>
  <c r="U844" i="6"/>
  <c r="X844" i="6" s="1"/>
  <c r="U841" i="6"/>
  <c r="X841" i="6" s="1"/>
  <c r="AB824" i="6"/>
  <c r="AB825" i="6"/>
  <c r="AB809" i="6"/>
  <c r="U809" i="6" s="1"/>
  <c r="AB810" i="6"/>
  <c r="U810" i="6" s="1"/>
  <c r="AB811" i="6"/>
  <c r="U811" i="6" s="1"/>
  <c r="AB812" i="6"/>
  <c r="U812" i="6" s="1"/>
  <c r="AB813" i="6"/>
  <c r="U813" i="6" s="1"/>
  <c r="AB814" i="6"/>
  <c r="U814" i="6" s="1"/>
  <c r="AB815" i="6"/>
  <c r="U815" i="6" s="1"/>
  <c r="AB816" i="6"/>
  <c r="U816" i="6" s="1"/>
  <c r="AB823" i="6"/>
  <c r="U796" i="6"/>
  <c r="U795" i="6"/>
  <c r="AB797" i="6"/>
  <c r="U786" i="6"/>
  <c r="U787" i="6"/>
  <c r="U788" i="6"/>
  <c r="U785" i="6"/>
  <c r="U108" i="6"/>
  <c r="U109" i="6"/>
  <c r="U107" i="6"/>
  <c r="U106" i="6"/>
  <c r="U88" i="6"/>
  <c r="U89" i="6"/>
  <c r="U90" i="6"/>
  <c r="U91" i="6"/>
  <c r="U92" i="6"/>
  <c r="U93" i="6"/>
  <c r="U94" i="6"/>
  <c r="U87" i="6"/>
  <c r="AB85" i="6"/>
  <c r="U85" i="6" s="1"/>
  <c r="U84" i="6"/>
  <c r="U81" i="6"/>
  <c r="U80" i="6"/>
  <c r="U44" i="6"/>
  <c r="U43" i="6"/>
  <c r="U38" i="6"/>
  <c r="U37" i="6"/>
  <c r="U36" i="6"/>
  <c r="U35" i="6"/>
  <c r="U34" i="6"/>
  <c r="U33" i="6"/>
  <c r="U32" i="6"/>
  <c r="U31" i="6"/>
  <c r="U30" i="6"/>
  <c r="U29" i="6"/>
  <c r="U28" i="6"/>
  <c r="U27" i="6"/>
  <c r="U26" i="6"/>
  <c r="U25" i="6"/>
  <c r="U24" i="6"/>
  <c r="U23" i="6"/>
  <c r="U22" i="6"/>
  <c r="U21" i="6"/>
  <c r="U20" i="6"/>
  <c r="U19" i="6"/>
  <c r="U18" i="6"/>
  <c r="U17" i="6"/>
  <c r="U16" i="6"/>
  <c r="U15" i="6"/>
  <c r="U14" i="6"/>
  <c r="U13" i="6"/>
  <c r="U12" i="6"/>
  <c r="U11" i="6"/>
  <c r="U10" i="6"/>
  <c r="U9" i="6"/>
  <c r="U8" i="6"/>
  <c r="U7" i="6"/>
  <c r="U6" i="6"/>
  <c r="U5" i="6"/>
  <c r="U4" i="6"/>
  <c r="U3" i="6"/>
  <c r="U2" i="6"/>
  <c r="U741" i="6"/>
  <c r="U740" i="6"/>
  <c r="U737" i="6"/>
  <c r="U738" i="6"/>
  <c r="U739" i="6"/>
  <c r="U736" i="6"/>
  <c r="AB1531" i="6"/>
  <c r="AB1532" i="6"/>
  <c r="AB1533" i="6"/>
  <c r="AB1530" i="6"/>
  <c r="U1530" i="6"/>
  <c r="U1533" i="6"/>
  <c r="U1532" i="6"/>
  <c r="U1531" i="6"/>
  <c r="U722" i="6"/>
  <c r="U721" i="6"/>
  <c r="AB724" i="6"/>
  <c r="AE724" i="6"/>
  <c r="U719" i="6"/>
  <c r="X719" i="6" s="1"/>
  <c r="AB716" i="6"/>
  <c r="U716" i="6" s="1"/>
  <c r="X716" i="6" s="1"/>
  <c r="U634" i="6"/>
  <c r="X634" i="6" s="1"/>
  <c r="U635" i="6"/>
  <c r="X635" i="6" s="1"/>
  <c r="U636" i="6"/>
  <c r="X636" i="6" s="1"/>
  <c r="U637" i="6"/>
  <c r="X637" i="6" s="1"/>
  <c r="U638" i="6"/>
  <c r="X638" i="6" s="1"/>
  <c r="U639" i="6"/>
  <c r="X639" i="6" s="1"/>
  <c r="U640" i="6"/>
  <c r="X640" i="6" s="1"/>
  <c r="U641" i="6"/>
  <c r="X641" i="6" s="1"/>
  <c r="U642" i="6"/>
  <c r="X642" i="6" s="1"/>
  <c r="U643" i="6"/>
  <c r="X643" i="6" s="1"/>
  <c r="U644" i="6"/>
  <c r="X644" i="6" s="1"/>
  <c r="U645" i="6"/>
  <c r="X645" i="6" s="1"/>
  <c r="U646" i="6"/>
  <c r="X646" i="6" s="1"/>
  <c r="U647" i="6"/>
  <c r="X647" i="6" s="1"/>
  <c r="U648" i="6"/>
  <c r="X648" i="6" s="1"/>
  <c r="U649" i="6"/>
  <c r="X649" i="6" s="1"/>
  <c r="U650" i="6"/>
  <c r="X650" i="6" s="1"/>
  <c r="U651" i="6"/>
  <c r="X651" i="6" s="1"/>
  <c r="U652" i="6"/>
  <c r="X652" i="6" s="1"/>
  <c r="U653" i="6"/>
  <c r="X653" i="6" s="1"/>
  <c r="U654" i="6"/>
  <c r="X654" i="6" s="1"/>
  <c r="U655" i="6"/>
  <c r="X655" i="6" s="1"/>
  <c r="U656" i="6"/>
  <c r="X656" i="6" s="1"/>
  <c r="U657" i="6"/>
  <c r="X657" i="6" s="1"/>
  <c r="U658" i="6"/>
  <c r="X658" i="6" s="1"/>
  <c r="U659" i="6"/>
  <c r="X659" i="6" s="1"/>
  <c r="U660" i="6"/>
  <c r="X660" i="6" s="1"/>
  <c r="U661" i="6"/>
  <c r="X661" i="6" s="1"/>
  <c r="U662" i="6"/>
  <c r="X662" i="6" s="1"/>
  <c r="U663" i="6"/>
  <c r="X663" i="6" s="1"/>
  <c r="U664" i="6"/>
  <c r="X664" i="6" s="1"/>
  <c r="U665" i="6"/>
  <c r="X665" i="6" s="1"/>
  <c r="U666" i="6"/>
  <c r="X666" i="6" s="1"/>
  <c r="U667" i="6"/>
  <c r="X667" i="6" s="1"/>
  <c r="U668" i="6"/>
  <c r="X668" i="6" s="1"/>
  <c r="U633" i="6"/>
  <c r="X633" i="6" s="1"/>
  <c r="U630" i="6"/>
  <c r="X630" i="6" s="1"/>
  <c r="U627" i="6"/>
  <c r="X627" i="6" s="1"/>
  <c r="U628" i="6"/>
  <c r="X628" i="6" s="1"/>
  <c r="U626" i="6"/>
  <c r="X626" i="6" s="1"/>
  <c r="U572" i="6"/>
  <c r="U573" i="6"/>
  <c r="U574" i="6"/>
  <c r="U575" i="6"/>
  <c r="U576" i="6"/>
  <c r="U577" i="6"/>
  <c r="U578" i="6"/>
  <c r="U579" i="6"/>
  <c r="U580" i="6"/>
  <c r="U581" i="6"/>
  <c r="U582" i="6"/>
  <c r="U583" i="6"/>
  <c r="U584" i="6"/>
  <c r="U585" i="6"/>
  <c r="U586" i="6"/>
  <c r="U587" i="6"/>
  <c r="U588" i="6"/>
  <c r="U589" i="6"/>
  <c r="U590" i="6"/>
  <c r="U591" i="6"/>
  <c r="U592" i="6"/>
  <c r="U593" i="6"/>
  <c r="U594" i="6"/>
  <c r="U571" i="6"/>
  <c r="AB114" i="6"/>
  <c r="U114" i="6" s="1"/>
  <c r="AB508" i="6"/>
  <c r="U508" i="6" s="1"/>
  <c r="X508" i="6" s="1"/>
  <c r="AB507" i="6"/>
  <c r="U507" i="6" s="1"/>
  <c r="X507" i="6" s="1"/>
  <c r="U566" i="6"/>
  <c r="X566" i="6" s="1"/>
  <c r="U567" i="6"/>
  <c r="X567" i="6" s="1"/>
  <c r="U565" i="6"/>
  <c r="X565" i="6" s="1"/>
  <c r="U552" i="6"/>
  <c r="U551" i="6"/>
  <c r="U550" i="6"/>
  <c r="U549" i="6"/>
  <c r="U548" i="6"/>
  <c r="U547" i="6"/>
  <c r="U546" i="6"/>
  <c r="U545" i="6"/>
  <c r="U544" i="6"/>
  <c r="U539" i="6"/>
  <c r="U543" i="6"/>
  <c r="U542" i="6"/>
  <c r="U541" i="6"/>
  <c r="U540" i="6"/>
  <c r="S552" i="6"/>
  <c r="S551" i="6"/>
  <c r="S550" i="6"/>
  <c r="S549" i="6"/>
  <c r="S548" i="6"/>
  <c r="S547" i="6"/>
  <c r="S546" i="6"/>
  <c r="S545" i="6"/>
  <c r="S544" i="6"/>
  <c r="S539" i="6"/>
  <c r="S543" i="6"/>
  <c r="U536" i="6"/>
  <c r="X536" i="6" s="1"/>
  <c r="U537" i="6"/>
  <c r="X537" i="6" s="1"/>
  <c r="U538" i="6"/>
  <c r="X538" i="6" s="1"/>
  <c r="U535" i="6"/>
  <c r="X535" i="6" s="1"/>
  <c r="U514" i="6"/>
  <c r="U515" i="6"/>
  <c r="U516" i="6"/>
  <c r="U517" i="6"/>
  <c r="U518" i="6"/>
  <c r="U519" i="6"/>
  <c r="U520" i="6"/>
  <c r="U521" i="6"/>
  <c r="U522" i="6"/>
  <c r="U523" i="6"/>
  <c r="U524" i="6"/>
  <c r="U525" i="6"/>
  <c r="U526" i="6"/>
  <c r="U527" i="6"/>
  <c r="U528" i="6"/>
  <c r="U529" i="6"/>
  <c r="U530" i="6"/>
  <c r="U531" i="6"/>
  <c r="U532" i="6"/>
  <c r="U533" i="6"/>
  <c r="U534" i="6"/>
  <c r="U513" i="6"/>
  <c r="U510" i="6"/>
  <c r="X510" i="6" s="1"/>
  <c r="U511" i="6"/>
  <c r="X511" i="6" s="1"/>
  <c r="U512" i="6"/>
  <c r="X512" i="6" s="1"/>
  <c r="U509" i="6"/>
  <c r="X509" i="6" s="1"/>
  <c r="U473" i="6"/>
  <c r="X473" i="6" s="1"/>
  <c r="U474" i="6"/>
  <c r="X474" i="6" s="1"/>
  <c r="U475" i="6"/>
  <c r="X475" i="6" s="1"/>
  <c r="U476" i="6"/>
  <c r="X476" i="6" s="1"/>
  <c r="U477" i="6"/>
  <c r="X477" i="6" s="1"/>
  <c r="U478" i="6"/>
  <c r="X478" i="6" s="1"/>
  <c r="U479" i="6"/>
  <c r="X479" i="6" s="1"/>
  <c r="U480" i="6"/>
  <c r="X480" i="6" s="1"/>
  <c r="U481" i="6"/>
  <c r="X481" i="6" s="1"/>
  <c r="U482" i="6"/>
  <c r="X482" i="6" s="1"/>
  <c r="U483" i="6"/>
  <c r="X483" i="6" s="1"/>
  <c r="U484" i="6"/>
  <c r="X484" i="6" s="1"/>
  <c r="U485" i="6"/>
  <c r="X485" i="6" s="1"/>
  <c r="U486" i="6"/>
  <c r="X486" i="6" s="1"/>
  <c r="U487" i="6"/>
  <c r="X487" i="6" s="1"/>
  <c r="U488" i="6"/>
  <c r="X488" i="6" s="1"/>
  <c r="U489" i="6"/>
  <c r="X489" i="6" s="1"/>
  <c r="U490" i="6"/>
  <c r="X490" i="6" s="1"/>
  <c r="U491" i="6"/>
  <c r="X491" i="6" s="1"/>
  <c r="U492" i="6"/>
  <c r="X492" i="6" s="1"/>
  <c r="U493" i="6"/>
  <c r="X493" i="6" s="1"/>
  <c r="U494" i="6"/>
  <c r="X494" i="6" s="1"/>
  <c r="U495" i="6"/>
  <c r="X495" i="6" s="1"/>
  <c r="U496" i="6"/>
  <c r="X496" i="6" s="1"/>
  <c r="U497" i="6"/>
  <c r="X497" i="6" s="1"/>
  <c r="U498" i="6"/>
  <c r="X498" i="6" s="1"/>
  <c r="U499" i="6"/>
  <c r="X499" i="6" s="1"/>
  <c r="U500" i="6"/>
  <c r="X500" i="6" s="1"/>
  <c r="U501" i="6"/>
  <c r="X501" i="6" s="1"/>
  <c r="U502" i="6"/>
  <c r="X502" i="6" s="1"/>
  <c r="U503" i="6"/>
  <c r="X503" i="6" s="1"/>
  <c r="U504" i="6"/>
  <c r="X504" i="6" s="1"/>
  <c r="U472" i="6"/>
  <c r="X472" i="6" s="1"/>
  <c r="AB470" i="6"/>
  <c r="AB469" i="6"/>
  <c r="U469" i="6" s="1"/>
  <c r="X469" i="6" s="1"/>
  <c r="AB468" i="6"/>
  <c r="U468" i="6" s="1"/>
  <c r="X468" i="6" s="1"/>
  <c r="AB467" i="6"/>
  <c r="U467" i="6" s="1"/>
  <c r="X467" i="6" s="1"/>
  <c r="AB466" i="6"/>
  <c r="U466" i="6" s="1"/>
  <c r="X466" i="6" s="1"/>
  <c r="AB465" i="6"/>
  <c r="U465" i="6" s="1"/>
  <c r="X465" i="6" s="1"/>
  <c r="AB471" i="6"/>
  <c r="AB464" i="6"/>
  <c r="U464" i="6" s="1"/>
  <c r="X464" i="6" s="1"/>
  <c r="AB463" i="6"/>
  <c r="U463" i="6" s="1"/>
  <c r="X463" i="6" s="1"/>
  <c r="AB462" i="6"/>
  <c r="U462" i="6" s="1"/>
  <c r="X462" i="6" s="1"/>
  <c r="AB461" i="6"/>
  <c r="U461" i="6" s="1"/>
  <c r="X461" i="6" s="1"/>
  <c r="AB460" i="6"/>
  <c r="U460" i="6" s="1"/>
  <c r="X460" i="6" s="1"/>
  <c r="AB459" i="6"/>
  <c r="U459" i="6" s="1"/>
  <c r="X459" i="6" s="1"/>
  <c r="AB458" i="6"/>
  <c r="U458" i="6" s="1"/>
  <c r="X458" i="6" s="1"/>
  <c r="AB457" i="6"/>
  <c r="U457" i="6" s="1"/>
  <c r="X457" i="6" s="1"/>
  <c r="AB456" i="6"/>
  <c r="U456" i="6" s="1"/>
  <c r="X456" i="6" s="1"/>
  <c r="AB455" i="6"/>
  <c r="U455" i="6" s="1"/>
  <c r="X455" i="6" s="1"/>
  <c r="AB454" i="6"/>
  <c r="U454" i="6" s="1"/>
  <c r="X454" i="6" s="1"/>
  <c r="AB453" i="6"/>
  <c r="U453" i="6" s="1"/>
  <c r="X453" i="6" s="1"/>
  <c r="U1539" i="6"/>
  <c r="X1539" i="6" s="1"/>
  <c r="U1540" i="6"/>
  <c r="X1540" i="6" s="1"/>
  <c r="U1541" i="6"/>
  <c r="X1541" i="6" s="1"/>
  <c r="U1542" i="6"/>
  <c r="X1542" i="6" s="1"/>
  <c r="U1538" i="6"/>
  <c r="X1538" i="6" s="1"/>
  <c r="U442" i="6"/>
  <c r="U443" i="6"/>
  <c r="U444" i="6"/>
  <c r="U445" i="6"/>
  <c r="U446" i="6"/>
  <c r="U441" i="6"/>
  <c r="U427" i="6"/>
  <c r="X427" i="6" s="1"/>
  <c r="U428" i="6"/>
  <c r="X428" i="6" s="1"/>
  <c r="U429" i="6"/>
  <c r="X429" i="6" s="1"/>
  <c r="U426" i="6"/>
  <c r="X426" i="6" s="1"/>
  <c r="U420" i="6"/>
  <c r="X420" i="6" s="1"/>
  <c r="AB416" i="6"/>
  <c r="U416" i="6" s="1"/>
  <c r="X416" i="6" s="1"/>
  <c r="AB415" i="6"/>
  <c r="U415" i="6" s="1"/>
  <c r="X415" i="6" s="1"/>
  <c r="U417" i="6"/>
  <c r="X417" i="6" s="1"/>
  <c r="U418" i="6"/>
  <c r="X418" i="6" s="1"/>
  <c r="U419" i="6"/>
  <c r="X419" i="6" s="1"/>
  <c r="U421" i="6"/>
  <c r="X421" i="6" s="1"/>
  <c r="U422" i="6"/>
  <c r="X422" i="6" s="1"/>
  <c r="U423" i="6"/>
  <c r="X423" i="6" s="1"/>
  <c r="U414" i="6"/>
  <c r="X414" i="6" s="1"/>
  <c r="U406" i="6"/>
  <c r="X406" i="6" s="1"/>
  <c r="U405" i="6"/>
  <c r="X405" i="6" s="1"/>
  <c r="U407" i="6"/>
  <c r="X407" i="6" s="1"/>
  <c r="U408" i="6"/>
  <c r="X408" i="6" s="1"/>
  <c r="U386" i="6"/>
  <c r="X386" i="6" s="1"/>
  <c r="U387" i="6"/>
  <c r="X387" i="6" s="1"/>
  <c r="U388" i="6"/>
  <c r="X388" i="6" s="1"/>
  <c r="U389" i="6"/>
  <c r="X389" i="6" s="1"/>
  <c r="U390" i="6"/>
  <c r="X390" i="6" s="1"/>
  <c r="U391" i="6"/>
  <c r="X391" i="6" s="1"/>
  <c r="U392" i="6"/>
  <c r="X392" i="6" s="1"/>
  <c r="U393" i="6"/>
  <c r="X393" i="6" s="1"/>
  <c r="U394" i="6"/>
  <c r="X394" i="6" s="1"/>
  <c r="U395" i="6"/>
  <c r="X395" i="6" s="1"/>
  <c r="U396" i="6"/>
  <c r="X396" i="6" s="1"/>
  <c r="U397" i="6"/>
  <c r="X397" i="6" s="1"/>
  <c r="U398" i="6"/>
  <c r="X398" i="6" s="1"/>
  <c r="U385" i="6"/>
  <c r="X385" i="6" s="1"/>
  <c r="U378" i="6"/>
  <c r="U377" i="6"/>
  <c r="U375" i="6"/>
  <c r="U373" i="6"/>
  <c r="U372" i="6"/>
  <c r="U371" i="6"/>
  <c r="U370" i="6"/>
  <c r="U369" i="6"/>
  <c r="U301" i="6"/>
  <c r="X301" i="6" s="1"/>
  <c r="U302" i="6"/>
  <c r="X302" i="6" s="1"/>
  <c r="U303" i="6"/>
  <c r="X303" i="6" s="1"/>
  <c r="U304" i="6"/>
  <c r="X304" i="6" s="1"/>
  <c r="U305" i="6"/>
  <c r="X305" i="6" s="1"/>
  <c r="U306" i="6"/>
  <c r="X306" i="6" s="1"/>
  <c r="U307" i="6"/>
  <c r="X307" i="6" s="1"/>
  <c r="U308" i="6"/>
  <c r="X308" i="6" s="1"/>
  <c r="U309" i="6"/>
  <c r="X309" i="6" s="1"/>
  <c r="U310" i="6"/>
  <c r="X310" i="6" s="1"/>
  <c r="U311" i="6"/>
  <c r="X311" i="6" s="1"/>
  <c r="U312" i="6"/>
  <c r="X312" i="6" s="1"/>
  <c r="U313" i="6"/>
  <c r="X313" i="6" s="1"/>
  <c r="U314" i="6"/>
  <c r="X314" i="6" s="1"/>
  <c r="U315" i="6"/>
  <c r="X315" i="6" s="1"/>
  <c r="U316" i="6"/>
  <c r="X316" i="6" s="1"/>
  <c r="U317" i="6"/>
  <c r="X317" i="6" s="1"/>
  <c r="U318" i="6"/>
  <c r="X318" i="6" s="1"/>
  <c r="U319" i="6"/>
  <c r="X319" i="6" s="1"/>
  <c r="U320" i="6"/>
  <c r="X320" i="6" s="1"/>
  <c r="U321" i="6"/>
  <c r="X321" i="6" s="1"/>
  <c r="U322" i="6"/>
  <c r="X322" i="6" s="1"/>
  <c r="U323" i="6"/>
  <c r="X323" i="6" s="1"/>
  <c r="U324" i="6"/>
  <c r="X324" i="6" s="1"/>
  <c r="U325" i="6"/>
  <c r="X325" i="6" s="1"/>
  <c r="U326" i="6"/>
  <c r="X326" i="6" s="1"/>
  <c r="U327" i="6"/>
  <c r="X327" i="6" s="1"/>
  <c r="U328" i="6"/>
  <c r="X328" i="6" s="1"/>
  <c r="U329" i="6"/>
  <c r="X329" i="6" s="1"/>
  <c r="U330" i="6"/>
  <c r="X330" i="6" s="1"/>
  <c r="U300" i="6"/>
  <c r="X300" i="6" s="1"/>
  <c r="U291" i="6"/>
  <c r="X291" i="6" s="1"/>
  <c r="U292" i="6"/>
  <c r="X292" i="6" s="1"/>
  <c r="U293" i="6"/>
  <c r="X293" i="6" s="1"/>
  <c r="U294" i="6"/>
  <c r="X294" i="6" s="1"/>
  <c r="U295" i="6"/>
  <c r="X295" i="6" s="1"/>
  <c r="U290" i="6"/>
  <c r="X290" i="6" s="1"/>
  <c r="U278" i="6"/>
  <c r="X278" i="6" s="1"/>
  <c r="U279" i="6"/>
  <c r="X279" i="6" s="1"/>
  <c r="U280" i="6"/>
  <c r="X280" i="6" s="1"/>
  <c r="U281" i="6"/>
  <c r="X281" i="6" s="1"/>
  <c r="U282" i="6"/>
  <c r="X282" i="6" s="1"/>
  <c r="U283" i="6"/>
  <c r="X283" i="6" s="1"/>
  <c r="U284" i="6"/>
  <c r="X284" i="6" s="1"/>
  <c r="U285" i="6"/>
  <c r="X285" i="6" s="1"/>
  <c r="U286" i="6"/>
  <c r="X286" i="6" s="1"/>
  <c r="U276" i="6"/>
  <c r="X276" i="6" s="1"/>
  <c r="U277" i="6"/>
  <c r="X277" i="6" s="1"/>
  <c r="U274" i="6"/>
  <c r="X274" i="6" s="1"/>
  <c r="AB264" i="6"/>
  <c r="U1547" i="6"/>
  <c r="U1546" i="6"/>
  <c r="U1545" i="6"/>
  <c r="U1544" i="6"/>
  <c r="U1543" i="6"/>
  <c r="U258" i="6"/>
  <c r="X258" i="6" s="1"/>
  <c r="U256" i="6"/>
  <c r="X256" i="6" s="1"/>
  <c r="U257" i="6"/>
  <c r="X257" i="6" s="1"/>
  <c r="U255" i="6"/>
  <c r="X255" i="6" s="1"/>
  <c r="U253" i="6"/>
  <c r="X253" i="6" s="1"/>
  <c r="U252" i="6"/>
  <c r="X252" i="6" s="1"/>
  <c r="U251" i="6"/>
  <c r="X251" i="6" s="1"/>
  <c r="AB245" i="6"/>
  <c r="AB244" i="6"/>
  <c r="U244" i="6" s="1"/>
  <c r="X244" i="6" s="1"/>
  <c r="AE114" i="6"/>
  <c r="U241" i="6"/>
  <c r="X241" i="6" s="1"/>
  <c r="U243" i="6"/>
  <c r="X243" i="6" s="1"/>
  <c r="U242" i="6"/>
  <c r="X242" i="6" s="1"/>
  <c r="U181" i="6"/>
  <c r="X181" i="6" s="1"/>
  <c r="U182" i="6"/>
  <c r="X182" i="6" s="1"/>
  <c r="U183" i="6"/>
  <c r="X183" i="6" s="1"/>
  <c r="U184" i="6"/>
  <c r="X184" i="6" s="1"/>
  <c r="U185" i="6"/>
  <c r="X185" i="6" s="1"/>
  <c r="U186" i="6"/>
  <c r="X186" i="6" s="1"/>
  <c r="U188" i="6"/>
  <c r="X188" i="6" s="1"/>
  <c r="U189" i="6"/>
  <c r="X189" i="6" s="1"/>
  <c r="U190" i="6"/>
  <c r="X190" i="6" s="1"/>
  <c r="U191" i="6"/>
  <c r="X191" i="6" s="1"/>
  <c r="U192" i="6"/>
  <c r="X192" i="6" s="1"/>
  <c r="U193" i="6"/>
  <c r="X193" i="6" s="1"/>
  <c r="U194" i="6"/>
  <c r="X194" i="6" s="1"/>
  <c r="U195" i="6"/>
  <c r="X195" i="6" s="1"/>
  <c r="U197" i="6"/>
  <c r="X197" i="6" s="1"/>
  <c r="U198" i="6"/>
  <c r="X198" i="6" s="1"/>
  <c r="U199" i="6"/>
  <c r="X199" i="6" s="1"/>
  <c r="U200" i="6"/>
  <c r="X200" i="6" s="1"/>
  <c r="U201" i="6"/>
  <c r="X201" i="6" s="1"/>
  <c r="U202" i="6"/>
  <c r="X202" i="6" s="1"/>
  <c r="U203" i="6"/>
  <c r="X203" i="6" s="1"/>
  <c r="U204" i="6"/>
  <c r="X204" i="6" s="1"/>
  <c r="U206" i="6"/>
  <c r="X206" i="6" s="1"/>
  <c r="U207" i="6"/>
  <c r="X207" i="6" s="1"/>
  <c r="U208" i="6"/>
  <c r="X208" i="6" s="1"/>
  <c r="U209" i="6"/>
  <c r="X209" i="6" s="1"/>
  <c r="U210" i="6"/>
  <c r="X210" i="6" s="1"/>
  <c r="U211" i="6"/>
  <c r="X211" i="6" s="1"/>
  <c r="U212" i="6"/>
  <c r="X212" i="6" s="1"/>
  <c r="U213" i="6"/>
  <c r="X213" i="6" s="1"/>
  <c r="U215" i="6"/>
  <c r="X215" i="6" s="1"/>
  <c r="U216" i="6"/>
  <c r="X216" i="6" s="1"/>
  <c r="U217" i="6"/>
  <c r="X217" i="6" s="1"/>
  <c r="U218" i="6"/>
  <c r="X218" i="6" s="1"/>
  <c r="U219" i="6"/>
  <c r="X219" i="6" s="1"/>
  <c r="U220" i="6"/>
  <c r="X220" i="6" s="1"/>
  <c r="U221" i="6"/>
  <c r="X221" i="6" s="1"/>
  <c r="U222" i="6"/>
  <c r="X222" i="6" s="1"/>
  <c r="U224" i="6"/>
  <c r="X224" i="6" s="1"/>
  <c r="U225" i="6"/>
  <c r="X225" i="6" s="1"/>
  <c r="U226" i="6"/>
  <c r="X226" i="6" s="1"/>
  <c r="U227" i="6"/>
  <c r="X227" i="6" s="1"/>
  <c r="U228" i="6"/>
  <c r="X228" i="6" s="1"/>
  <c r="U229" i="6"/>
  <c r="X229" i="6" s="1"/>
  <c r="U230" i="6"/>
  <c r="X230" i="6" s="1"/>
  <c r="U231" i="6"/>
  <c r="X231" i="6" s="1"/>
  <c r="U232" i="6"/>
  <c r="X232" i="6" s="1"/>
  <c r="U233" i="6"/>
  <c r="X233" i="6" s="1"/>
  <c r="U234" i="6"/>
  <c r="X234" i="6" s="1"/>
  <c r="U235" i="6"/>
  <c r="X235" i="6" s="1"/>
  <c r="U236" i="6"/>
  <c r="X236" i="6" s="1"/>
  <c r="U237" i="6"/>
  <c r="X237" i="6" s="1"/>
  <c r="U238" i="6"/>
  <c r="X238" i="6" s="1"/>
  <c r="U239" i="6"/>
  <c r="X239" i="6" s="1"/>
  <c r="U240" i="6"/>
  <c r="X240" i="6" s="1"/>
  <c r="U180" i="6"/>
  <c r="X180" i="6" s="1"/>
  <c r="U179" i="6"/>
  <c r="X179" i="6" s="1"/>
  <c r="U178" i="6"/>
  <c r="X178" i="6" s="1"/>
  <c r="U131" i="6"/>
  <c r="U132" i="6"/>
  <c r="U133" i="6"/>
  <c r="U134" i="6"/>
  <c r="U130" i="6"/>
  <c r="U122" i="6"/>
  <c r="X122" i="6" s="1"/>
  <c r="U123" i="6"/>
  <c r="X123" i="6" s="1"/>
  <c r="U124" i="6"/>
  <c r="X124" i="6" s="1"/>
  <c r="U121" i="6"/>
  <c r="X121" i="6" s="1"/>
  <c r="U113" i="6"/>
  <c r="X113" i="6" s="1"/>
  <c r="U112" i="6"/>
  <c r="X112" i="6" s="1"/>
  <c r="U111" i="6"/>
  <c r="X111" i="6" s="1"/>
  <c r="U110" i="6"/>
  <c r="X110" i="6" s="1"/>
  <c r="E37" i="21" l="1"/>
  <c r="F103" i="22"/>
  <c r="E119" i="22"/>
  <c r="F115" i="22"/>
  <c r="F75" i="22"/>
  <c r="F9" i="21"/>
  <c r="E28" i="21"/>
  <c r="E11" i="21"/>
  <c r="E115" i="22"/>
  <c r="E112" i="22"/>
  <c r="F99" i="22"/>
  <c r="F80" i="22"/>
  <c r="E75" i="22"/>
  <c r="F48" i="22"/>
  <c r="E9" i="21"/>
  <c r="F27" i="21"/>
  <c r="E111" i="22"/>
  <c r="E99" i="22"/>
  <c r="E93" i="22"/>
  <c r="E80" i="22"/>
  <c r="E27" i="21"/>
  <c r="E123" i="22"/>
  <c r="F114" i="22"/>
  <c r="E109" i="22"/>
  <c r="E92" i="22"/>
  <c r="E74" i="22"/>
  <c r="F36" i="21"/>
  <c r="F24" i="21"/>
  <c r="F121" i="22"/>
  <c r="E114" i="22"/>
  <c r="F88" i="22"/>
  <c r="E79" i="22"/>
  <c r="F35" i="21"/>
  <c r="E24" i="21"/>
  <c r="F119" i="22"/>
  <c r="E103" i="22"/>
  <c r="E97" i="22"/>
  <c r="E88" i="22"/>
  <c r="F78" i="22"/>
  <c r="F27" i="22"/>
  <c r="E12" i="22"/>
  <c r="E35" i="21"/>
  <c r="F15" i="21"/>
  <c r="F113" i="22"/>
  <c r="E78" i="22"/>
  <c r="E40" i="22"/>
  <c r="E33" i="21"/>
  <c r="E14" i="21"/>
  <c r="E113" i="22"/>
  <c r="E102" i="22"/>
  <c r="F95" i="22"/>
  <c r="F84" i="22"/>
  <c r="E52" i="22"/>
  <c r="E32" i="21"/>
  <c r="F11" i="21"/>
  <c r="E101" i="22"/>
  <c r="E95" i="22"/>
  <c r="E83" i="22"/>
  <c r="O1233" i="6"/>
  <c r="O1225" i="6"/>
  <c r="Y1225" i="6" s="1"/>
  <c r="O1217" i="6"/>
  <c r="O1173" i="6"/>
  <c r="O1075" i="6"/>
  <c r="O1063" i="6"/>
  <c r="Y1063" i="6" s="1"/>
  <c r="O1041" i="6"/>
  <c r="O1019" i="6"/>
  <c r="Y1019" i="6" s="1"/>
  <c r="O864" i="6"/>
  <c r="O856" i="6"/>
  <c r="Y856" i="6" s="1"/>
  <c r="C5" i="22" s="1"/>
  <c r="E5" i="22" s="1"/>
  <c r="O1240" i="6"/>
  <c r="Y1240" i="6" s="1"/>
  <c r="O1232" i="6"/>
  <c r="O1224" i="6"/>
  <c r="O1216" i="6"/>
  <c r="Y1216" i="6" s="1"/>
  <c r="O1172" i="6"/>
  <c r="O1074" i="6"/>
  <c r="O1048" i="6"/>
  <c r="O1040" i="6"/>
  <c r="O863" i="6"/>
  <c r="Y863" i="6" s="1"/>
  <c r="O855" i="6"/>
  <c r="O715" i="6"/>
  <c r="Y715" i="6" s="1"/>
  <c r="O1237" i="6"/>
  <c r="Y1237" i="6" s="1"/>
  <c r="O1213" i="6"/>
  <c r="Y1213" i="6" s="1"/>
  <c r="O1045" i="6"/>
  <c r="O860" i="6"/>
  <c r="O1229" i="6"/>
  <c r="Y1229" i="6" s="1"/>
  <c r="O1169" i="6"/>
  <c r="O1037" i="6"/>
  <c r="O843" i="6"/>
  <c r="Y843" i="6" s="1"/>
  <c r="O1517" i="6"/>
  <c r="O1236" i="6"/>
  <c r="Y1236" i="6" s="1"/>
  <c r="O1228" i="6"/>
  <c r="Y1228" i="6" s="1"/>
  <c r="O1220" i="6"/>
  <c r="O1212" i="6"/>
  <c r="Y1212" i="6" s="1"/>
  <c r="O1168" i="6"/>
  <c r="O1070" i="6"/>
  <c r="O1044" i="6"/>
  <c r="O1036" i="6"/>
  <c r="O859" i="6"/>
  <c r="Y859" i="6" s="1"/>
  <c r="O842" i="6"/>
  <c r="Y842" i="6" s="1"/>
  <c r="O640" i="6"/>
  <c r="Y640" i="6" s="1"/>
  <c r="O1518" i="6"/>
  <c r="O1221" i="6"/>
  <c r="Y1221" i="6" s="1"/>
  <c r="O1071" i="6"/>
  <c r="O1235" i="6"/>
  <c r="Y1235" i="6" s="1"/>
  <c r="O1227" i="6"/>
  <c r="Y1227" i="6" s="1"/>
  <c r="O1219" i="6"/>
  <c r="Y1219" i="6" s="1"/>
  <c r="O1175" i="6"/>
  <c r="O1077" i="6"/>
  <c r="O1069" i="6"/>
  <c r="O1043" i="6"/>
  <c r="O1035" i="6"/>
  <c r="O874" i="6"/>
  <c r="Y874" i="6" s="1"/>
  <c r="O858" i="6"/>
  <c r="Y858" i="6" s="1"/>
  <c r="O841" i="6"/>
  <c r="Y841" i="6" s="1"/>
  <c r="X539" i="6"/>
  <c r="Y539" i="6" s="1"/>
  <c r="X373" i="6"/>
  <c r="Y373" i="6" s="1"/>
  <c r="X1545" i="6"/>
  <c r="Y1545" i="6" s="1"/>
  <c r="X369" i="6"/>
  <c r="Y369" i="6" s="1"/>
  <c r="X441" i="6"/>
  <c r="Y441" i="6" s="1"/>
  <c r="X545" i="6"/>
  <c r="Y545" i="6" s="1"/>
  <c r="X130" i="6"/>
  <c r="Y130" i="6" s="1"/>
  <c r="X43" i="6"/>
  <c r="Y43" i="6" s="1"/>
  <c r="X1173" i="6"/>
  <c r="O1154" i="6"/>
  <c r="Y1154" i="6" s="1"/>
  <c r="O1135" i="6"/>
  <c r="Y1135" i="6" s="1"/>
  <c r="O1112" i="6"/>
  <c r="Y1112" i="6" s="1"/>
  <c r="O645" i="6"/>
  <c r="Y645" i="6" s="1"/>
  <c r="O1152" i="6"/>
  <c r="Y1152" i="6" s="1"/>
  <c r="O1130" i="6"/>
  <c r="Y1130" i="6" s="1"/>
  <c r="O1111" i="6"/>
  <c r="Y1111" i="6" s="1"/>
  <c r="O644" i="6"/>
  <c r="Y644" i="6" s="1"/>
  <c r="Y102" i="6"/>
  <c r="Y84" i="6"/>
  <c r="Y72" i="6"/>
  <c r="Y64" i="6"/>
  <c r="Y56" i="6"/>
  <c r="Y48" i="6"/>
  <c r="Y34" i="6"/>
  <c r="Y26" i="6"/>
  <c r="Y18" i="6"/>
  <c r="Y10" i="6"/>
  <c r="Y2" i="6"/>
  <c r="O1106" i="6"/>
  <c r="Y1106" i="6" s="1"/>
  <c r="O1284" i="6"/>
  <c r="Y1284" i="6" s="1"/>
  <c r="O1146" i="6"/>
  <c r="Y1146" i="6" s="1"/>
  <c r="O1127" i="6"/>
  <c r="Y1127" i="6" s="1"/>
  <c r="O1104" i="6"/>
  <c r="Y1104" i="6" s="1"/>
  <c r="O637" i="6"/>
  <c r="Y637" i="6" s="1"/>
  <c r="O639" i="6"/>
  <c r="Y639" i="6" s="1"/>
  <c r="O1144" i="6"/>
  <c r="Y1144" i="6" s="1"/>
  <c r="O668" i="6"/>
  <c r="Y668" i="6" s="1"/>
  <c r="O636" i="6"/>
  <c r="Y636" i="6" s="1"/>
  <c r="Y80" i="6"/>
  <c r="O1151" i="6"/>
  <c r="Y1151" i="6" s="1"/>
  <c r="O1162" i="6"/>
  <c r="Y1162" i="6" s="1"/>
  <c r="O1143" i="6"/>
  <c r="Y1143" i="6" s="1"/>
  <c r="O1120" i="6"/>
  <c r="Y1120" i="6" s="1"/>
  <c r="O1103" i="6"/>
  <c r="Y1103" i="6" s="1"/>
  <c r="O1160" i="6"/>
  <c r="Y1160" i="6" s="1"/>
  <c r="O1138" i="6"/>
  <c r="Y1138" i="6" s="1"/>
  <c r="O1119" i="6"/>
  <c r="Y1119" i="6" s="1"/>
  <c r="Y105" i="6"/>
  <c r="Y97" i="6"/>
  <c r="Y75" i="6"/>
  <c r="Y67" i="6"/>
  <c r="Y59" i="6"/>
  <c r="Y51" i="6"/>
  <c r="Y37" i="6"/>
  <c r="Y29" i="6"/>
  <c r="Y21" i="6"/>
  <c r="Y13" i="6"/>
  <c r="Y5" i="6"/>
  <c r="O1128" i="6"/>
  <c r="Y1128" i="6" s="1"/>
  <c r="O1122" i="6"/>
  <c r="Y1122" i="6" s="1"/>
  <c r="O1159" i="6"/>
  <c r="Y1159" i="6" s="1"/>
  <c r="O1136" i="6"/>
  <c r="Y1136" i="6" s="1"/>
  <c r="O1114" i="6"/>
  <c r="Y1114" i="6" s="1"/>
  <c r="O647" i="6"/>
  <c r="Y647" i="6" s="1"/>
  <c r="O1166" i="6"/>
  <c r="Y1166" i="6" s="1"/>
  <c r="O1158" i="6"/>
  <c r="Y1158" i="6" s="1"/>
  <c r="O1150" i="6"/>
  <c r="Y1150" i="6" s="1"/>
  <c r="O1142" i="6"/>
  <c r="Y1142" i="6" s="1"/>
  <c r="O1134" i="6"/>
  <c r="Y1134" i="6" s="1"/>
  <c r="O1126" i="6"/>
  <c r="Y1126" i="6" s="1"/>
  <c r="O1118" i="6"/>
  <c r="Y1118" i="6" s="1"/>
  <c r="O1110" i="6"/>
  <c r="Y1110" i="6" s="1"/>
  <c r="O643" i="6"/>
  <c r="Y643" i="6" s="1"/>
  <c r="O635" i="6"/>
  <c r="Y635" i="6" s="1"/>
  <c r="Y101" i="6"/>
  <c r="Y79" i="6"/>
  <c r="Y71" i="6"/>
  <c r="Y63" i="6"/>
  <c r="Y55" i="6"/>
  <c r="Y47" i="6"/>
  <c r="Y33" i="6"/>
  <c r="Y25" i="6"/>
  <c r="Y17" i="6"/>
  <c r="Y9" i="6"/>
  <c r="O1165" i="6"/>
  <c r="Y1165" i="6" s="1"/>
  <c r="O1157" i="6"/>
  <c r="Y1157" i="6" s="1"/>
  <c r="O1149" i="6"/>
  <c r="Y1149" i="6" s="1"/>
  <c r="O1141" i="6"/>
  <c r="Y1141" i="6" s="1"/>
  <c r="O1133" i="6"/>
  <c r="Y1133" i="6" s="1"/>
  <c r="O1125" i="6"/>
  <c r="Y1125" i="6" s="1"/>
  <c r="O1117" i="6"/>
  <c r="Y1117" i="6" s="1"/>
  <c r="O1109" i="6"/>
  <c r="Y1109" i="6" s="1"/>
  <c r="O642" i="6"/>
  <c r="Y642" i="6" s="1"/>
  <c r="O634" i="6"/>
  <c r="Y634" i="6" s="1"/>
  <c r="Y100" i="6"/>
  <c r="Y78" i="6"/>
  <c r="Y70" i="6"/>
  <c r="Y62" i="6"/>
  <c r="Y54" i="6"/>
  <c r="Y46" i="6"/>
  <c r="Y32" i="6"/>
  <c r="Y24" i="6"/>
  <c r="Y16" i="6"/>
  <c r="Y8" i="6"/>
  <c r="Y81" i="6"/>
  <c r="O1164" i="6"/>
  <c r="Y1164" i="6" s="1"/>
  <c r="O1156" i="6"/>
  <c r="Y1156" i="6" s="1"/>
  <c r="O1148" i="6"/>
  <c r="Y1148" i="6" s="1"/>
  <c r="O1140" i="6"/>
  <c r="Y1140" i="6" s="1"/>
  <c r="O1132" i="6"/>
  <c r="Y1132" i="6" s="1"/>
  <c r="O1124" i="6"/>
  <c r="Y1124" i="6" s="1"/>
  <c r="O1116" i="6"/>
  <c r="Y1116" i="6" s="1"/>
  <c r="O1108" i="6"/>
  <c r="Y1108" i="6" s="1"/>
  <c r="O649" i="6"/>
  <c r="Y649" i="6" s="1"/>
  <c r="Y641" i="6"/>
  <c r="O633" i="6"/>
  <c r="Y633" i="6" s="1"/>
  <c r="Y99" i="6"/>
  <c r="Y77" i="6"/>
  <c r="Y69" i="6"/>
  <c r="Y61" i="6"/>
  <c r="Y53" i="6"/>
  <c r="Y45" i="6"/>
  <c r="Y31" i="6"/>
  <c r="Y23" i="6"/>
  <c r="Y15" i="6"/>
  <c r="Y7" i="6"/>
  <c r="O1163" i="6"/>
  <c r="Y1163" i="6" s="1"/>
  <c r="O1155" i="6"/>
  <c r="Y1155" i="6" s="1"/>
  <c r="O1147" i="6"/>
  <c r="Y1147" i="6" s="1"/>
  <c r="O1139" i="6"/>
  <c r="Y1139" i="6" s="1"/>
  <c r="O1131" i="6"/>
  <c r="Y1131" i="6" s="1"/>
  <c r="O1123" i="6"/>
  <c r="Y1123" i="6" s="1"/>
  <c r="O1115" i="6"/>
  <c r="Y1115" i="6" s="1"/>
  <c r="O1107" i="6"/>
  <c r="Y1107" i="6" s="1"/>
  <c r="O648" i="6"/>
  <c r="Y648" i="6" s="1"/>
  <c r="Y98" i="6"/>
  <c r="Y76" i="6"/>
  <c r="Y68" i="6"/>
  <c r="Y60" i="6"/>
  <c r="Y52" i="6"/>
  <c r="Y38" i="6"/>
  <c r="Y30" i="6"/>
  <c r="Y22" i="6"/>
  <c r="Y14" i="6"/>
  <c r="Y6" i="6"/>
  <c r="O1285" i="6"/>
  <c r="Y1285" i="6" s="1"/>
  <c r="O1161" i="6"/>
  <c r="Y1161" i="6" s="1"/>
  <c r="O1153" i="6"/>
  <c r="Y1153" i="6" s="1"/>
  <c r="O1145" i="6"/>
  <c r="Y1145" i="6" s="1"/>
  <c r="O1137" i="6"/>
  <c r="Y1137" i="6" s="1"/>
  <c r="O1129" i="6"/>
  <c r="Y1129" i="6" s="1"/>
  <c r="O1121" i="6"/>
  <c r="Y1121" i="6" s="1"/>
  <c r="O1113" i="6"/>
  <c r="Y1113" i="6" s="1"/>
  <c r="O1105" i="6"/>
  <c r="Y1105" i="6" s="1"/>
  <c r="O646" i="6"/>
  <c r="Y646" i="6" s="1"/>
  <c r="O638" i="6"/>
  <c r="Y638" i="6" s="1"/>
  <c r="Y104" i="6"/>
  <c r="Y96" i="6"/>
  <c r="Y74" i="6"/>
  <c r="Y66" i="6"/>
  <c r="Y58" i="6"/>
  <c r="Y50" i="6"/>
  <c r="Y36" i="6"/>
  <c r="Y28" i="6"/>
  <c r="Y20" i="6"/>
  <c r="Y12" i="6"/>
  <c r="Y4" i="6"/>
  <c r="Y103" i="6"/>
  <c r="Y95" i="6"/>
  <c r="Y73" i="6"/>
  <c r="Y65" i="6"/>
  <c r="Y57" i="6"/>
  <c r="Y49" i="6"/>
  <c r="Y35" i="6"/>
  <c r="Y27" i="6"/>
  <c r="Y19" i="6"/>
  <c r="Y11" i="6"/>
  <c r="Y3" i="6"/>
  <c r="X1175" i="6"/>
  <c r="X1168" i="6"/>
  <c r="X722" i="6"/>
  <c r="Y722" i="6" s="1"/>
  <c r="X549" i="6"/>
  <c r="Y549" i="6" s="1"/>
  <c r="X1169" i="6"/>
  <c r="X1172" i="6"/>
  <c r="X1171" i="6"/>
  <c r="Y1171" i="6" s="1"/>
  <c r="X1170" i="6"/>
  <c r="Y1170" i="6" s="1"/>
  <c r="X878" i="6"/>
  <c r="Y878" i="6" s="1"/>
  <c r="X1245" i="6"/>
  <c r="Y1245" i="6" s="1"/>
  <c r="X1558" i="6"/>
  <c r="Y1558" i="6" s="1"/>
  <c r="Y39" i="6"/>
  <c r="X795" i="6"/>
  <c r="Y795" i="6" s="1"/>
  <c r="X378" i="6"/>
  <c r="Y378" i="6" s="1"/>
  <c r="X975" i="6"/>
  <c r="Y975" i="6" s="1"/>
  <c r="X524" i="6"/>
  <c r="Y524" i="6" s="1"/>
  <c r="X516" i="6"/>
  <c r="Y516" i="6" s="1"/>
  <c r="X848" i="6"/>
  <c r="Y848" i="6" s="1"/>
  <c r="X1073" i="6"/>
  <c r="Y1073" i="6" s="1"/>
  <c r="X879" i="6"/>
  <c r="Y879" i="6" s="1"/>
  <c r="X1038" i="6"/>
  <c r="Y1038" i="6" s="1"/>
  <c r="X108" i="6"/>
  <c r="Y108" i="6" s="1"/>
  <c r="X377" i="6"/>
  <c r="Y377" i="6" s="1"/>
  <c r="X531" i="6"/>
  <c r="Y531" i="6" s="1"/>
  <c r="X523" i="6"/>
  <c r="Y523" i="6" s="1"/>
  <c r="X515" i="6"/>
  <c r="Y515" i="6" s="1"/>
  <c r="X1072" i="6"/>
  <c r="Y1072" i="6" s="1"/>
  <c r="X442" i="6"/>
  <c r="Y442" i="6" s="1"/>
  <c r="X533" i="6"/>
  <c r="Y533" i="6" s="1"/>
  <c r="X525" i="6"/>
  <c r="Y525" i="6" s="1"/>
  <c r="X517" i="6"/>
  <c r="Y517" i="6" s="1"/>
  <c r="X544" i="6"/>
  <c r="Y544" i="6" s="1"/>
  <c r="X552" i="6"/>
  <c r="Y552" i="6" s="1"/>
  <c r="X594" i="6"/>
  <c r="Y594" i="6" s="1"/>
  <c r="X586" i="6"/>
  <c r="Y586" i="6" s="1"/>
  <c r="X578" i="6"/>
  <c r="Y578" i="6" s="1"/>
  <c r="X109" i="6"/>
  <c r="Y109" i="6" s="1"/>
  <c r="X532" i="6"/>
  <c r="Y532" i="6" s="1"/>
  <c r="X1174" i="6"/>
  <c r="Y1174" i="6" s="1"/>
  <c r="X551" i="6"/>
  <c r="Y551" i="6" s="1"/>
  <c r="X811" i="6"/>
  <c r="Y811" i="6" s="1"/>
  <c r="X1045" i="6"/>
  <c r="X1334" i="6"/>
  <c r="Y1334" i="6" s="1"/>
  <c r="X1546" i="6"/>
  <c r="Y1546" i="6" s="1"/>
  <c r="X1044" i="6"/>
  <c r="X1036" i="6"/>
  <c r="X375" i="6"/>
  <c r="Y375" i="6" s="1"/>
  <c r="X1318" i="6"/>
  <c r="Y1318" i="6" s="1"/>
  <c r="X873" i="6"/>
  <c r="Y873" i="6" s="1"/>
  <c r="X741" i="6"/>
  <c r="Y741" i="6" s="1"/>
  <c r="X816" i="6"/>
  <c r="Y816" i="6" s="1"/>
  <c r="X1244" i="6"/>
  <c r="Y1244" i="6" s="1"/>
  <c r="Y1476" i="6"/>
  <c r="X133" i="6"/>
  <c r="Y133" i="6" s="1"/>
  <c r="X591" i="6"/>
  <c r="Y591" i="6" s="1"/>
  <c r="X583" i="6"/>
  <c r="Y583" i="6" s="1"/>
  <c r="X575" i="6"/>
  <c r="Y575" i="6" s="1"/>
  <c r="X721" i="6"/>
  <c r="Y721" i="6" s="1"/>
  <c r="X845" i="6"/>
  <c r="Y845" i="6" s="1"/>
  <c r="X972" i="6"/>
  <c r="Y972" i="6" s="1"/>
  <c r="X853" i="6"/>
  <c r="Y853" i="6" s="1"/>
  <c r="X736" i="6"/>
  <c r="Y736" i="6" s="1"/>
  <c r="Y1566" i="6"/>
  <c r="Y1483" i="6"/>
  <c r="X371" i="6"/>
  <c r="Y371" i="6" s="1"/>
  <c r="X786" i="6"/>
  <c r="Y786" i="6" s="1"/>
  <c r="X513" i="6"/>
  <c r="Y513" i="6" s="1"/>
  <c r="X543" i="6"/>
  <c r="Y543" i="6" s="1"/>
  <c r="X114" i="6"/>
  <c r="Y114" i="6" s="1"/>
  <c r="X87" i="6"/>
  <c r="Y87" i="6" s="1"/>
  <c r="X106" i="6"/>
  <c r="Y106" i="6" s="1"/>
  <c r="X868" i="6"/>
  <c r="Y868" i="6" s="1"/>
  <c r="X880" i="6"/>
  <c r="Y880" i="6" s="1"/>
  <c r="X443" i="6"/>
  <c r="Y443" i="6" s="1"/>
  <c r="X571" i="6"/>
  <c r="Y571" i="6" s="1"/>
  <c r="X587" i="6"/>
  <c r="Y587" i="6" s="1"/>
  <c r="X579" i="6"/>
  <c r="Y579" i="6" s="1"/>
  <c r="X1533" i="6"/>
  <c r="Y1533" i="6" s="1"/>
  <c r="Y1564" i="6"/>
  <c r="Y1521" i="6"/>
  <c r="Y1489" i="6"/>
  <c r="Y1304" i="6"/>
  <c r="Y1295" i="6"/>
  <c r="Y1278" i="6"/>
  <c r="Y1234" i="6"/>
  <c r="Y1226" i="6"/>
  <c r="Y1218" i="6"/>
  <c r="Y1020" i="6"/>
  <c r="Y957" i="6"/>
  <c r="Y1574" i="6"/>
  <c r="Y1550" i="6"/>
  <c r="Y1537" i="6"/>
  <c r="Y1479" i="6"/>
  <c r="Y1449" i="6"/>
  <c r="Y1441" i="6"/>
  <c r="Y1433" i="6"/>
  <c r="Y1425" i="6"/>
  <c r="Y1417" i="6"/>
  <c r="Y1409" i="6"/>
  <c r="Y1401" i="6"/>
  <c r="Y1393" i="6"/>
  <c r="Y1385" i="6"/>
  <c r="Y1377" i="6"/>
  <c r="Y1369" i="6"/>
  <c r="Y1360" i="6"/>
  <c r="Y1312" i="6"/>
  <c r="Y1287" i="6"/>
  <c r="Y1210" i="6"/>
  <c r="Y1202" i="6"/>
  <c r="Y1194" i="6"/>
  <c r="Y1186" i="6"/>
  <c r="Y1178" i="6"/>
  <c r="Y1563" i="6"/>
  <c r="Y1488" i="6"/>
  <c r="Y1315" i="6"/>
  <c r="Y1303" i="6"/>
  <c r="Y1277" i="6"/>
  <c r="Y1241" i="6"/>
  <c r="Y1233" i="6"/>
  <c r="Y1217" i="6"/>
  <c r="Y956" i="6"/>
  <c r="Y1573" i="6"/>
  <c r="Y1549" i="6"/>
  <c r="Y1527" i="6"/>
  <c r="Y1478" i="6"/>
  <c r="Y1448" i="6"/>
  <c r="Y1440" i="6"/>
  <c r="Y1432" i="6"/>
  <c r="Y1424" i="6"/>
  <c r="Y1416" i="6"/>
  <c r="Y1408" i="6"/>
  <c r="Y1400" i="6"/>
  <c r="Y1392" i="6"/>
  <c r="Y1384" i="6"/>
  <c r="Y1376" i="6"/>
  <c r="Y1368" i="6"/>
  <c r="Y1359" i="6"/>
  <c r="Y1294" i="6"/>
  <c r="Y1286" i="6"/>
  <c r="Y1209" i="6"/>
  <c r="Y1487" i="6"/>
  <c r="Y1452" i="6"/>
  <c r="Y1314" i="6"/>
  <c r="Y1232" i="6"/>
  <c r="Y1224" i="6"/>
  <c r="Y966" i="6"/>
  <c r="Y1572" i="6"/>
  <c r="Y1526" i="6"/>
  <c r="Y1477" i="6"/>
  <c r="Y1447" i="6"/>
  <c r="Y1439" i="6"/>
  <c r="Y1431" i="6"/>
  <c r="Y1423" i="6"/>
  <c r="Y1415" i="6"/>
  <c r="Y1407" i="6"/>
  <c r="Y1510" i="6"/>
  <c r="Y1486" i="6"/>
  <c r="Y1451" i="6"/>
  <c r="Y1313" i="6"/>
  <c r="Y1300" i="6"/>
  <c r="Y1239" i="6"/>
  <c r="Y1231" i="6"/>
  <c r="Y1223" i="6"/>
  <c r="Y1215" i="6"/>
  <c r="Y965" i="6"/>
  <c r="Y1571" i="6"/>
  <c r="Y1542" i="6"/>
  <c r="Y1525" i="6"/>
  <c r="Y1446" i="6"/>
  <c r="Y1438" i="6"/>
  <c r="Y1430" i="6"/>
  <c r="Y1422" i="6"/>
  <c r="Y1414" i="6"/>
  <c r="Y1406" i="6"/>
  <c r="X90" i="6"/>
  <c r="Y90" i="6" s="1"/>
  <c r="X91" i="6"/>
  <c r="Y91" i="6" s="1"/>
  <c r="X370" i="6"/>
  <c r="Y370" i="6" s="1"/>
  <c r="X529" i="6"/>
  <c r="Y529" i="6" s="1"/>
  <c r="X521" i="6"/>
  <c r="Y521" i="6" s="1"/>
  <c r="X541" i="6"/>
  <c r="Y541" i="6" s="1"/>
  <c r="X89" i="6"/>
  <c r="Y89" i="6" s="1"/>
  <c r="X1047" i="6"/>
  <c r="Y1047" i="6" s="1"/>
  <c r="X1039" i="6"/>
  <c r="Y1039" i="6" s="1"/>
  <c r="X1070" i="6"/>
  <c r="Y1070" i="6" s="1"/>
  <c r="Y1354" i="6"/>
  <c r="Y1306" i="6"/>
  <c r="Y1297" i="6"/>
  <c r="Y1280" i="6"/>
  <c r="Y1220" i="6"/>
  <c r="Y962" i="6"/>
  <c r="Y797" i="6"/>
  <c r="Y1568" i="6"/>
  <c r="Y1539" i="6"/>
  <c r="Y1481" i="6"/>
  <c r="Y1472" i="6"/>
  <c r="Y1443" i="6"/>
  <c r="Y1435" i="6"/>
  <c r="Y1427" i="6"/>
  <c r="Y1419" i="6"/>
  <c r="Y1411" i="6"/>
  <c r="Y1403" i="6"/>
  <c r="Y1395" i="6"/>
  <c r="Y1387" i="6"/>
  <c r="Y1379" i="6"/>
  <c r="Y1371" i="6"/>
  <c r="Y1363" i="6"/>
  <c r="Y1351" i="6"/>
  <c r="Y1289" i="6"/>
  <c r="Y1249" i="6"/>
  <c r="Y1204" i="6"/>
  <c r="Y1196" i="6"/>
  <c r="Y1188" i="6"/>
  <c r="Y1180" i="6"/>
  <c r="Y1100" i="6"/>
  <c r="Y1092" i="6"/>
  <c r="Y1084" i="6"/>
  <c r="Y1059" i="6"/>
  <c r="Y1051" i="6"/>
  <c r="Y1027" i="6"/>
  <c r="Y1017" i="6"/>
  <c r="Y1009" i="6"/>
  <c r="Y1001" i="6"/>
  <c r="Y993" i="6"/>
  <c r="Y985" i="6"/>
  <c r="Y959" i="6"/>
  <c r="Y934" i="6"/>
  <c r="Y926" i="6"/>
  <c r="Y918" i="6"/>
  <c r="Y910" i="6"/>
  <c r="Y902" i="6"/>
  <c r="Y894" i="6"/>
  <c r="Y886" i="6"/>
  <c r="Y875" i="6"/>
  <c r="Y834" i="6"/>
  <c r="Y782" i="6"/>
  <c r="Y774" i="6"/>
  <c r="Y766" i="6"/>
  <c r="Y697" i="6"/>
  <c r="Y1565" i="6"/>
  <c r="Y1522" i="6"/>
  <c r="Y1482" i="6"/>
  <c r="Y1305" i="6"/>
  <c r="Y1296" i="6"/>
  <c r="Y1279" i="6"/>
  <c r="Y961" i="6"/>
  <c r="Y1529" i="6"/>
  <c r="Y1567" i="6"/>
  <c r="Y1538" i="6"/>
  <c r="Y1480" i="6"/>
  <c r="Y1471" i="6"/>
  <c r="Y1442" i="6"/>
  <c r="Y1434" i="6"/>
  <c r="Y1426" i="6"/>
  <c r="Y1418" i="6"/>
  <c r="Y1410" i="6"/>
  <c r="Y1402" i="6"/>
  <c r="Y1394" i="6"/>
  <c r="Y1386" i="6"/>
  <c r="Y1378" i="6"/>
  <c r="Y1370" i="6"/>
  <c r="Y1362" i="6"/>
  <c r="Y1350" i="6"/>
  <c r="Y1288" i="6"/>
  <c r="Y1211" i="6"/>
  <c r="Y1203" i="6"/>
  <c r="Y1195" i="6"/>
  <c r="Y1187" i="6"/>
  <c r="Y1179" i="6"/>
  <c r="Y1099" i="6"/>
  <c r="Y1091" i="6"/>
  <c r="Y1083" i="6"/>
  <c r="Y1058" i="6"/>
  <c r="Y1034" i="6"/>
  <c r="Y1026" i="6"/>
  <c r="Y1016" i="6"/>
  <c r="Y1008" i="6"/>
  <c r="Y1000" i="6"/>
  <c r="Y992" i="6"/>
  <c r="Y984" i="6"/>
  <c r="Y954" i="6"/>
  <c r="Y933" i="6"/>
  <c r="Y925" i="6"/>
  <c r="Y917" i="6"/>
  <c r="Y909" i="6"/>
  <c r="Y901" i="6"/>
  <c r="Y893" i="6"/>
  <c r="Y885" i="6"/>
  <c r="Y1098" i="6"/>
  <c r="Y1090" i="6"/>
  <c r="Y1082" i="6"/>
  <c r="Y1057" i="6"/>
  <c r="Y1033" i="6"/>
  <c r="Y1025" i="6"/>
  <c r="Y1015" i="6"/>
  <c r="Y1007" i="6"/>
  <c r="Y999" i="6"/>
  <c r="Y991" i="6"/>
  <c r="Y983" i="6"/>
  <c r="Y953" i="6"/>
  <c r="Y932" i="6"/>
  <c r="Y924" i="6"/>
  <c r="Y916" i="6"/>
  <c r="Y908" i="6"/>
  <c r="Y900" i="6"/>
  <c r="Y892" i="6"/>
  <c r="Y884" i="6"/>
  <c r="Y865" i="6"/>
  <c r="Y857" i="6"/>
  <c r="Y840" i="6"/>
  <c r="Y832" i="6"/>
  <c r="Y780" i="6"/>
  <c r="Y772" i="6"/>
  <c r="Y719" i="6"/>
  <c r="Y695" i="6"/>
  <c r="Y687" i="6"/>
  <c r="Y679" i="6"/>
  <c r="Y671" i="6"/>
  <c r="Y663" i="6"/>
  <c r="Y655" i="6"/>
  <c r="Y630" i="6"/>
  <c r="Y566" i="6"/>
  <c r="Y558" i="6"/>
  <c r="Y536" i="6"/>
  <c r="Y504" i="6"/>
  <c r="Y496" i="6"/>
  <c r="Y488" i="6"/>
  <c r="Y480" i="6"/>
  <c r="Y472" i="6"/>
  <c r="Y463" i="6"/>
  <c r="Y455" i="6"/>
  <c r="Y432" i="6"/>
  <c r="Y422" i="6"/>
  <c r="Y414" i="6"/>
  <c r="Y397" i="6"/>
  <c r="Y389" i="6"/>
  <c r="Y365" i="6"/>
  <c r="Y357" i="6"/>
  <c r="Y349" i="6"/>
  <c r="Y341" i="6"/>
  <c r="Y1201" i="6"/>
  <c r="Y1193" i="6"/>
  <c r="Y1185" i="6"/>
  <c r="Y1177" i="6"/>
  <c r="Y1097" i="6"/>
  <c r="Y1089" i="6"/>
  <c r="Y1081" i="6"/>
  <c r="Y1056" i="6"/>
  <c r="Y1032" i="6"/>
  <c r="Y1024" i="6"/>
  <c r="Y1014" i="6"/>
  <c r="Y1006" i="6"/>
  <c r="Y998" i="6"/>
  <c r="Y990" i="6"/>
  <c r="Y982" i="6"/>
  <c r="Y952" i="6"/>
  <c r="Y931" i="6"/>
  <c r="Y923" i="6"/>
  <c r="Y915" i="6"/>
  <c r="Y907" i="6"/>
  <c r="Y899" i="6"/>
  <c r="Y891" i="6"/>
  <c r="Y883" i="6"/>
  <c r="Y864" i="6"/>
  <c r="Y839" i="6"/>
  <c r="Y831" i="6"/>
  <c r="Y779" i="6"/>
  <c r="Y771" i="6"/>
  <c r="Y718" i="6"/>
  <c r="Y694" i="6"/>
  <c r="Y686" i="6"/>
  <c r="Y678" i="6"/>
  <c r="Y670" i="6"/>
  <c r="Y662" i="6"/>
  <c r="Y654" i="6"/>
  <c r="Y628" i="6"/>
  <c r="Y565" i="6"/>
  <c r="Y557" i="6"/>
  <c r="Y535" i="6"/>
  <c r="Y503" i="6"/>
  <c r="Y495" i="6"/>
  <c r="Y487" i="6"/>
  <c r="Y479" i="6"/>
  <c r="Y470" i="6"/>
  <c r="Y462" i="6"/>
  <c r="Y454" i="6"/>
  <c r="Y429" i="6"/>
  <c r="Y421" i="6"/>
  <c r="Y413" i="6"/>
  <c r="Y396" i="6"/>
  <c r="Y388" i="6"/>
  <c r="Y364" i="6"/>
  <c r="Y356" i="6"/>
  <c r="Y348" i="6"/>
  <c r="Y340" i="6"/>
  <c r="Y332" i="6"/>
  <c r="Y1399" i="6"/>
  <c r="Y1391" i="6"/>
  <c r="Y1383" i="6"/>
  <c r="Y1375" i="6"/>
  <c r="Y1367" i="6"/>
  <c r="Y1358" i="6"/>
  <c r="Y1293" i="6"/>
  <c r="Y1253" i="6"/>
  <c r="Y1208" i="6"/>
  <c r="Y1200" i="6"/>
  <c r="Y1192" i="6"/>
  <c r="Y1184" i="6"/>
  <c r="Y1176" i="6"/>
  <c r="Y1096" i="6"/>
  <c r="Y1088" i="6"/>
  <c r="Y1080" i="6"/>
  <c r="Y1055" i="6"/>
  <c r="Y1031" i="6"/>
  <c r="Y1023" i="6"/>
  <c r="Y1013" i="6"/>
  <c r="Y1005" i="6"/>
  <c r="Y997" i="6"/>
  <c r="Y989" i="6"/>
  <c r="Y980" i="6"/>
  <c r="Y938" i="6"/>
  <c r="Y930" i="6"/>
  <c r="Y922" i="6"/>
  <c r="Y914" i="6"/>
  <c r="Y906" i="6"/>
  <c r="Y898" i="6"/>
  <c r="Y890" i="6"/>
  <c r="Y882" i="6"/>
  <c r="Y855" i="6"/>
  <c r="Y838" i="6"/>
  <c r="Y830" i="6"/>
  <c r="Y778" i="6"/>
  <c r="Y770" i="6"/>
  <c r="Y717" i="6"/>
  <c r="Y693" i="6"/>
  <c r="Y685" i="6"/>
  <c r="Y677" i="6"/>
  <c r="Y669" i="6"/>
  <c r="Y661" i="6"/>
  <c r="Y653" i="6"/>
  <c r="Y627" i="6"/>
  <c r="Y564" i="6"/>
  <c r="Y556" i="6"/>
  <c r="Y512" i="6"/>
  <c r="Y502" i="6"/>
  <c r="Y494" i="6"/>
  <c r="Y1398" i="6"/>
  <c r="Y1390" i="6"/>
  <c r="Y1382" i="6"/>
  <c r="Y1374" i="6"/>
  <c r="Y1366" i="6"/>
  <c r="Y1357" i="6"/>
  <c r="Y1292" i="6"/>
  <c r="Y1252" i="6"/>
  <c r="Y1207" i="6"/>
  <c r="Y1199" i="6"/>
  <c r="Y1191" i="6"/>
  <c r="Y1183" i="6"/>
  <c r="Y1167" i="6"/>
  <c r="Y1095" i="6"/>
  <c r="Y1087" i="6"/>
  <c r="Y1062" i="6"/>
  <c r="Y1054" i="6"/>
  <c r="Y1030" i="6"/>
  <c r="Y1022" i="6"/>
  <c r="Y1012" i="6"/>
  <c r="Y1004" i="6"/>
  <c r="Y996" i="6"/>
  <c r="Y988" i="6"/>
  <c r="Y968" i="6"/>
  <c r="Y937" i="6"/>
  <c r="Y929" i="6"/>
  <c r="Y921" i="6"/>
  <c r="Y913" i="6"/>
  <c r="Y905" i="6"/>
  <c r="Y897" i="6"/>
  <c r="Y889" i="6"/>
  <c r="Y881" i="6"/>
  <c r="Y862" i="6"/>
  <c r="Y854" i="6"/>
  <c r="Y837" i="6"/>
  <c r="Y829" i="6"/>
  <c r="Y777" i="6"/>
  <c r="Y769" i="6"/>
  <c r="Y716" i="6"/>
  <c r="Y692" i="6"/>
  <c r="Y684" i="6"/>
  <c r="Y676" i="6"/>
  <c r="Y660" i="6"/>
  <c r="Y652" i="6"/>
  <c r="Y626" i="6"/>
  <c r="Y563" i="6"/>
  <c r="Y555" i="6"/>
  <c r="Y511" i="6"/>
  <c r="Y501" i="6"/>
  <c r="Y493" i="6"/>
  <c r="Y485" i="6"/>
  <c r="Y477" i="6"/>
  <c r="Y1485" i="6"/>
  <c r="Y1356" i="6"/>
  <c r="Y1308" i="6"/>
  <c r="Y1299" i="6"/>
  <c r="Y1282" i="6"/>
  <c r="Y1238" i="6"/>
  <c r="Y1230" i="6"/>
  <c r="Y1222" i="6"/>
  <c r="Y1214" i="6"/>
  <c r="Y964" i="6"/>
  <c r="Y1570" i="6"/>
  <c r="Y1541" i="6"/>
  <c r="Y1524" i="6"/>
  <c r="Y1475" i="6"/>
  <c r="Y1445" i="6"/>
  <c r="Y1437" i="6"/>
  <c r="Y1429" i="6"/>
  <c r="Y1421" i="6"/>
  <c r="Y1413" i="6"/>
  <c r="Y1405" i="6"/>
  <c r="Y1397" i="6"/>
  <c r="Y1389" i="6"/>
  <c r="Y1381" i="6"/>
  <c r="Y1373" i="6"/>
  <c r="Y1365" i="6"/>
  <c r="Y1353" i="6"/>
  <c r="Y1291" i="6"/>
  <c r="Y1251" i="6"/>
  <c r="Y1206" i="6"/>
  <c r="Y1198" i="6"/>
  <c r="Y1190" i="6"/>
  <c r="Y1182" i="6"/>
  <c r="Y1102" i="6"/>
  <c r="Y1094" i="6"/>
  <c r="Y1086" i="6"/>
  <c r="Y1061" i="6"/>
  <c r="Y1053" i="6"/>
  <c r="Y1029" i="6"/>
  <c r="Y1021" i="6"/>
  <c r="Y1011" i="6"/>
  <c r="Y1003" i="6"/>
  <c r="Y995" i="6"/>
  <c r="Y987" i="6"/>
  <c r="Y967" i="6"/>
  <c r="Y936" i="6"/>
  <c r="Y928" i="6"/>
  <c r="Y920" i="6"/>
  <c r="Y912" i="6"/>
  <c r="Y904" i="6"/>
  <c r="Y896" i="6"/>
  <c r="Y888" i="6"/>
  <c r="Y877" i="6"/>
  <c r="Y861" i="6"/>
  <c r="Y844" i="6"/>
  <c r="Y836" i="6"/>
  <c r="Y784" i="6"/>
  <c r="Y776" i="6"/>
  <c r="Y768" i="6"/>
  <c r="Y699" i="6"/>
  <c r="Y1484" i="6"/>
  <c r="Y1355" i="6"/>
  <c r="Y1307" i="6"/>
  <c r="Y1298" i="6"/>
  <c r="Y1281" i="6"/>
  <c r="Y963" i="6"/>
  <c r="Y955" i="6"/>
  <c r="Y1569" i="6"/>
  <c r="Y1540" i="6"/>
  <c r="Y1523" i="6"/>
  <c r="Y1474" i="6"/>
  <c r="Y1444" i="6"/>
  <c r="Y1436" i="6"/>
  <c r="Y1428" i="6"/>
  <c r="Y1420" i="6"/>
  <c r="Y1412" i="6"/>
  <c r="Y1404" i="6"/>
  <c r="Y1396" i="6"/>
  <c r="Y1388" i="6"/>
  <c r="Y1380" i="6"/>
  <c r="Y1372" i="6"/>
  <c r="Y1364" i="6"/>
  <c r="Y1352" i="6"/>
  <c r="Y1290" i="6"/>
  <c r="Y1250" i="6"/>
  <c r="Y1205" i="6"/>
  <c r="Y1197" i="6"/>
  <c r="Y1189" i="6"/>
  <c r="Y1181" i="6"/>
  <c r="Y1101" i="6"/>
  <c r="Y1093" i="6"/>
  <c r="Y1085" i="6"/>
  <c r="Y1060" i="6"/>
  <c r="Y1052" i="6"/>
  <c r="Y1028" i="6"/>
  <c r="Y1018" i="6"/>
  <c r="Y1010" i="6"/>
  <c r="Y1002" i="6"/>
  <c r="Y994" i="6"/>
  <c r="Y986" i="6"/>
  <c r="Y960" i="6"/>
  <c r="Y935" i="6"/>
  <c r="Y927" i="6"/>
  <c r="Y919" i="6"/>
  <c r="Y911" i="6"/>
  <c r="Y903" i="6"/>
  <c r="Y895" i="6"/>
  <c r="Y887" i="6"/>
  <c r="Y689" i="6"/>
  <c r="Y681" i="6"/>
  <c r="Y673" i="6"/>
  <c r="Y665" i="6"/>
  <c r="Y657" i="6"/>
  <c r="Y623" i="6"/>
  <c r="Y560" i="6"/>
  <c r="Y538" i="6"/>
  <c r="Y508" i="6"/>
  <c r="Y498" i="6"/>
  <c r="Y490" i="6"/>
  <c r="Y482" i="6"/>
  <c r="Y474" i="6"/>
  <c r="Y465" i="6"/>
  <c r="Y457" i="6"/>
  <c r="Y434" i="6"/>
  <c r="Y424" i="6"/>
  <c r="Y416" i="6"/>
  <c r="Y405" i="6"/>
  <c r="Y391" i="6"/>
  <c r="Y367" i="6"/>
  <c r="Y359" i="6"/>
  <c r="Y351" i="6"/>
  <c r="Y343" i="6"/>
  <c r="Y335" i="6"/>
  <c r="Y327" i="6"/>
  <c r="Y319" i="6"/>
  <c r="Y311" i="6"/>
  <c r="Y303" i="6"/>
  <c r="Y295" i="6"/>
  <c r="Y287" i="6"/>
  <c r="Y279" i="6"/>
  <c r="Y265" i="6"/>
  <c r="Y257" i="6"/>
  <c r="Y243" i="6"/>
  <c r="Y235" i="6"/>
  <c r="Y227" i="6"/>
  <c r="Y219" i="6"/>
  <c r="Y211" i="6"/>
  <c r="Y203" i="6"/>
  <c r="Y195" i="6"/>
  <c r="Y187" i="6"/>
  <c r="Y179" i="6"/>
  <c r="Y111" i="6"/>
  <c r="Y833" i="6"/>
  <c r="Y781" i="6"/>
  <c r="Y773" i="6"/>
  <c r="Y725" i="6"/>
  <c r="Y696" i="6"/>
  <c r="Y688" i="6"/>
  <c r="Y680" i="6"/>
  <c r="Y672" i="6"/>
  <c r="Y664" i="6"/>
  <c r="Y656" i="6"/>
  <c r="Y631" i="6"/>
  <c r="Y567" i="6"/>
  <c r="Y559" i="6"/>
  <c r="Y537" i="6"/>
  <c r="Y507" i="6"/>
  <c r="Y497" i="6"/>
  <c r="Y489" i="6"/>
  <c r="Y481" i="6"/>
  <c r="Y473" i="6"/>
  <c r="Y464" i="6"/>
  <c r="Y456" i="6"/>
  <c r="Y433" i="6"/>
  <c r="Y423" i="6"/>
  <c r="Y415" i="6"/>
  <c r="Y398" i="6"/>
  <c r="Y390" i="6"/>
  <c r="Y366" i="6"/>
  <c r="Y358" i="6"/>
  <c r="Y350" i="6"/>
  <c r="Y342" i="6"/>
  <c r="Y334" i="6"/>
  <c r="Y326" i="6"/>
  <c r="Y318" i="6"/>
  <c r="Y310" i="6"/>
  <c r="Y302" i="6"/>
  <c r="Y294" i="6"/>
  <c r="Y286" i="6"/>
  <c r="Y278" i="6"/>
  <c r="Y264" i="6"/>
  <c r="Y256" i="6"/>
  <c r="Y242" i="6"/>
  <c r="Y234" i="6"/>
  <c r="Y226" i="6"/>
  <c r="Y218" i="6"/>
  <c r="Y210" i="6"/>
  <c r="Y202" i="6"/>
  <c r="Y194" i="6"/>
  <c r="Y186" i="6"/>
  <c r="Y178" i="6"/>
  <c r="Y110" i="6"/>
  <c r="Y714" i="6"/>
  <c r="Y410" i="6"/>
  <c r="Y333" i="6"/>
  <c r="Y325" i="6"/>
  <c r="Y317" i="6"/>
  <c r="Y309" i="6"/>
  <c r="Y301" i="6"/>
  <c r="Y293" i="6"/>
  <c r="Y285" i="6"/>
  <c r="Y277" i="6"/>
  <c r="Y263" i="6"/>
  <c r="Y255" i="6"/>
  <c r="Y241" i="6"/>
  <c r="Y233" i="6"/>
  <c r="Y225" i="6"/>
  <c r="Y217" i="6"/>
  <c r="Y209" i="6"/>
  <c r="Y201" i="6"/>
  <c r="Y193" i="6"/>
  <c r="Y185" i="6"/>
  <c r="Y124" i="6"/>
  <c r="Y713" i="6"/>
  <c r="Y409" i="6"/>
  <c r="Y324" i="6"/>
  <c r="Y316" i="6"/>
  <c r="Y308" i="6"/>
  <c r="Y300" i="6"/>
  <c r="Y292" i="6"/>
  <c r="Y284" i="6"/>
  <c r="Y276" i="6"/>
  <c r="Y262" i="6"/>
  <c r="Y253" i="6"/>
  <c r="Y240" i="6"/>
  <c r="Y232" i="6"/>
  <c r="Y224" i="6"/>
  <c r="Y216" i="6"/>
  <c r="Y208" i="6"/>
  <c r="Y200" i="6"/>
  <c r="Y192" i="6"/>
  <c r="Y184" i="6"/>
  <c r="Y123" i="6"/>
  <c r="Y712" i="6"/>
  <c r="Y379" i="6"/>
  <c r="Y42" i="6"/>
  <c r="Y486" i="6"/>
  <c r="Y478" i="6"/>
  <c r="Y469" i="6"/>
  <c r="Y461" i="6"/>
  <c r="Y453" i="6"/>
  <c r="Y428" i="6"/>
  <c r="Y420" i="6"/>
  <c r="Y412" i="6"/>
  <c r="Y395" i="6"/>
  <c r="Y387" i="6"/>
  <c r="Y363" i="6"/>
  <c r="Y355" i="6"/>
  <c r="Y347" i="6"/>
  <c r="Y339" i="6"/>
  <c r="Y331" i="6"/>
  <c r="Y323" i="6"/>
  <c r="Y315" i="6"/>
  <c r="Y307" i="6"/>
  <c r="Y299" i="6"/>
  <c r="Y291" i="6"/>
  <c r="Y283" i="6"/>
  <c r="Y274" i="6"/>
  <c r="Y261" i="6"/>
  <c r="Y252" i="6"/>
  <c r="Y239" i="6"/>
  <c r="Y231" i="6"/>
  <c r="Y223" i="6"/>
  <c r="Y215" i="6"/>
  <c r="Y207" i="6"/>
  <c r="Y199" i="6"/>
  <c r="Y191" i="6"/>
  <c r="Y183" i="6"/>
  <c r="Y122" i="6"/>
  <c r="Y41" i="6"/>
  <c r="Y468" i="6"/>
  <c r="Y460" i="6"/>
  <c r="Y437" i="6"/>
  <c r="Y427" i="6"/>
  <c r="Y419" i="6"/>
  <c r="Y408" i="6"/>
  <c r="Y394" i="6"/>
  <c r="Y386" i="6"/>
  <c r="Y362" i="6"/>
  <c r="Y354" i="6"/>
  <c r="Y346" i="6"/>
  <c r="Y338" i="6"/>
  <c r="Y330" i="6"/>
  <c r="Y322" i="6"/>
  <c r="Y314" i="6"/>
  <c r="Y306" i="6"/>
  <c r="Y298" i="6"/>
  <c r="Y290" i="6"/>
  <c r="Y282" i="6"/>
  <c r="Y273" i="6"/>
  <c r="Y260" i="6"/>
  <c r="Y251" i="6"/>
  <c r="Y238" i="6"/>
  <c r="Y230" i="6"/>
  <c r="Y222" i="6"/>
  <c r="Y214" i="6"/>
  <c r="Y206" i="6"/>
  <c r="Y198" i="6"/>
  <c r="Y190" i="6"/>
  <c r="Y182" i="6"/>
  <c r="Y121" i="6"/>
  <c r="Y40" i="6"/>
  <c r="Y691" i="6"/>
  <c r="Y683" i="6"/>
  <c r="Y675" i="6"/>
  <c r="Y667" i="6"/>
  <c r="Y659" i="6"/>
  <c r="Y651" i="6"/>
  <c r="Y625" i="6"/>
  <c r="Y562" i="6"/>
  <c r="Y554" i="6"/>
  <c r="Y510" i="6"/>
  <c r="Y500" i="6"/>
  <c r="Y492" i="6"/>
  <c r="Y484" i="6"/>
  <c r="Y476" i="6"/>
  <c r="Y467" i="6"/>
  <c r="Y459" i="6"/>
  <c r="Y436" i="6"/>
  <c r="Y426" i="6"/>
  <c r="Y418" i="6"/>
  <c r="Y407" i="6"/>
  <c r="Y393" i="6"/>
  <c r="Y385" i="6"/>
  <c r="Y361" i="6"/>
  <c r="Y353" i="6"/>
  <c r="Y345" i="6"/>
  <c r="Y337" i="6"/>
  <c r="Y329" i="6"/>
  <c r="Y321" i="6"/>
  <c r="Y313" i="6"/>
  <c r="Y305" i="6"/>
  <c r="Y297" i="6"/>
  <c r="Y289" i="6"/>
  <c r="Y281" i="6"/>
  <c r="Y267" i="6"/>
  <c r="Y259" i="6"/>
  <c r="Y245" i="6"/>
  <c r="Y237" i="6"/>
  <c r="Y229" i="6"/>
  <c r="Y221" i="6"/>
  <c r="Y213" i="6"/>
  <c r="Y205" i="6"/>
  <c r="Y197" i="6"/>
  <c r="Y189" i="6"/>
  <c r="Y181" i="6"/>
  <c r="Y113" i="6"/>
  <c r="Y876" i="6"/>
  <c r="Y860" i="6"/>
  <c r="Y835" i="6"/>
  <c r="Y783" i="6"/>
  <c r="Y775" i="6"/>
  <c r="Y767" i="6"/>
  <c r="Y698" i="6"/>
  <c r="Y690" i="6"/>
  <c r="Y682" i="6"/>
  <c r="Y674" i="6"/>
  <c r="Y666" i="6"/>
  <c r="Y658" i="6"/>
  <c r="Y650" i="6"/>
  <c r="Y624" i="6"/>
  <c r="Y561" i="6"/>
  <c r="Y553" i="6"/>
  <c r="Y509" i="6"/>
  <c r="Y499" i="6"/>
  <c r="Y491" i="6"/>
  <c r="Y483" i="6"/>
  <c r="Y475" i="6"/>
  <c r="Y466" i="6"/>
  <c r="Y458" i="6"/>
  <c r="Y435" i="6"/>
  <c r="Y425" i="6"/>
  <c r="Y417" i="6"/>
  <c r="Y406" i="6"/>
  <c r="Y392" i="6"/>
  <c r="Y368" i="6"/>
  <c r="Y360" i="6"/>
  <c r="Y352" i="6"/>
  <c r="Y344" i="6"/>
  <c r="Y336" i="6"/>
  <c r="Y328" i="6"/>
  <c r="Y320" i="6"/>
  <c r="Y312" i="6"/>
  <c r="Y304" i="6"/>
  <c r="Y296" i="6"/>
  <c r="Y288" i="6"/>
  <c r="Y280" i="6"/>
  <c r="Y266" i="6"/>
  <c r="Y258" i="6"/>
  <c r="Y244" i="6"/>
  <c r="Y236" i="6"/>
  <c r="Y228" i="6"/>
  <c r="Y220" i="6"/>
  <c r="Y212" i="6"/>
  <c r="Y204" i="6"/>
  <c r="Y196" i="6"/>
  <c r="Y188" i="6"/>
  <c r="Y180" i="6"/>
  <c r="Y112" i="6"/>
  <c r="Y430" i="6"/>
  <c r="Y431" i="6"/>
  <c r="Y376" i="6"/>
  <c r="Y411" i="6"/>
  <c r="Y374" i="6"/>
  <c r="X976" i="6"/>
  <c r="Y976" i="6" s="1"/>
  <c r="X1342" i="6"/>
  <c r="Y1342" i="6" s="1"/>
  <c r="X1456" i="6"/>
  <c r="Y1456" i="6" s="1"/>
  <c r="X1459" i="6"/>
  <c r="Y1459" i="6" s="1"/>
  <c r="X1467" i="6"/>
  <c r="Y1467" i="6" s="1"/>
  <c r="X1345" i="6"/>
  <c r="Y1345" i="6" s="1"/>
  <c r="X1337" i="6"/>
  <c r="Y1337" i="6" s="1"/>
  <c r="X849" i="6"/>
  <c r="Y849" i="6" s="1"/>
  <c r="X1074" i="6"/>
  <c r="X1507" i="6"/>
  <c r="Y1507" i="6" s="1"/>
  <c r="X1499" i="6"/>
  <c r="Y1499" i="6" s="1"/>
  <c r="X1491" i="6"/>
  <c r="Y1491" i="6" s="1"/>
  <c r="X1336" i="6"/>
  <c r="Y1336" i="6" s="1"/>
  <c r="X1458" i="6"/>
  <c r="Y1458" i="6" s="1"/>
  <c r="X1464" i="6"/>
  <c r="Y1464" i="6" s="1"/>
  <c r="X1338" i="6"/>
  <c r="Y1338" i="6" s="1"/>
  <c r="X1048" i="6"/>
  <c r="Y1048" i="6" s="1"/>
  <c r="X1040" i="6"/>
  <c r="X1346" i="6"/>
  <c r="Y1346" i="6" s="1"/>
  <c r="X787" i="6"/>
  <c r="Y787" i="6" s="1"/>
  <c r="X1322" i="6"/>
  <c r="Y1322" i="6" s="1"/>
  <c r="X869" i="6"/>
  <c r="Y869" i="6" s="1"/>
  <c r="X812" i="6"/>
  <c r="Y812" i="6" s="1"/>
  <c r="X1283" i="6"/>
  <c r="Y1283" i="6" s="1"/>
  <c r="X1468" i="6"/>
  <c r="Y1468" i="6" s="1"/>
  <c r="X1503" i="6"/>
  <c r="Y1503" i="6" s="1"/>
  <c r="X1321" i="6"/>
  <c r="Y1321" i="6" s="1"/>
  <c r="X1344" i="6"/>
  <c r="Y1344" i="6" s="1"/>
  <c r="X1502" i="6"/>
  <c r="Y1502" i="6" s="1"/>
  <c r="X1494" i="6"/>
  <c r="Y1494" i="6" s="1"/>
  <c r="X1495" i="6"/>
  <c r="Y1495" i="6" s="1"/>
  <c r="X851" i="6"/>
  <c r="Y851" i="6" s="1"/>
  <c r="X970" i="6"/>
  <c r="Y970" i="6" s="1"/>
  <c r="X1246" i="6"/>
  <c r="Y1246" i="6" s="1"/>
  <c r="X1460" i="6"/>
  <c r="Y1460" i="6" s="1"/>
  <c r="X1554" i="6"/>
  <c r="Y1554" i="6" s="1"/>
  <c r="X1562" i="6"/>
  <c r="Y1562" i="6" s="1"/>
  <c r="X737" i="6"/>
  <c r="Y737" i="6" s="1"/>
  <c r="X93" i="6"/>
  <c r="Y93" i="6" s="1"/>
  <c r="X1332" i="6"/>
  <c r="Y1332" i="6" s="1"/>
  <c r="X1556" i="6"/>
  <c r="Y1556" i="6" s="1"/>
  <c r="X44" i="6"/>
  <c r="Y44" i="6" s="1"/>
  <c r="X1042" i="6"/>
  <c r="Y1042" i="6" s="1"/>
  <c r="X1242" i="6"/>
  <c r="Y1242" i="6" s="1"/>
  <c r="X1340" i="6"/>
  <c r="Y1340" i="6" s="1"/>
  <c r="X1470" i="6"/>
  <c r="Y1470" i="6" s="1"/>
  <c r="X1505" i="6"/>
  <c r="Y1505" i="6" s="1"/>
  <c r="X547" i="6"/>
  <c r="Y547" i="6" s="1"/>
  <c r="X871" i="6"/>
  <c r="Y871" i="6" s="1"/>
  <c r="X1348" i="6"/>
  <c r="Y1348" i="6" s="1"/>
  <c r="X814" i="6"/>
  <c r="Y814" i="6" s="1"/>
  <c r="X1068" i="6"/>
  <c r="Y1068" i="6" s="1"/>
  <c r="X1462" i="6"/>
  <c r="Y1462" i="6" s="1"/>
  <c r="X131" i="6"/>
  <c r="Y131" i="6" s="1"/>
  <c r="X1544" i="6"/>
  <c r="Y1544" i="6" s="1"/>
  <c r="X445" i="6"/>
  <c r="Y445" i="6" s="1"/>
  <c r="X589" i="6"/>
  <c r="Y589" i="6" s="1"/>
  <c r="X581" i="6"/>
  <c r="Y581" i="6" s="1"/>
  <c r="X573" i="6"/>
  <c r="Y573" i="6" s="1"/>
  <c r="X1531" i="6"/>
  <c r="Y1531" i="6" s="1"/>
  <c r="X1553" i="6"/>
  <c r="Y1553" i="6" s="1"/>
  <c r="X527" i="6"/>
  <c r="Y527" i="6" s="1"/>
  <c r="X519" i="6"/>
  <c r="Y519" i="6" s="1"/>
  <c r="X739" i="6"/>
  <c r="Y739" i="6" s="1"/>
  <c r="X1076" i="6"/>
  <c r="Y1076" i="6" s="1"/>
  <c r="X1316" i="6"/>
  <c r="Y1316" i="6" s="1"/>
  <c r="X1454" i="6"/>
  <c r="Y1454" i="6" s="1"/>
  <c r="X593" i="6"/>
  <c r="Y593" i="6" s="1"/>
  <c r="X585" i="6"/>
  <c r="Y585" i="6" s="1"/>
  <c r="X577" i="6"/>
  <c r="Y577" i="6" s="1"/>
  <c r="X92" i="6"/>
  <c r="Y92" i="6" s="1"/>
  <c r="X1453" i="6"/>
  <c r="Y1453" i="6" s="1"/>
  <c r="X1469" i="6"/>
  <c r="Y1469" i="6" s="1"/>
  <c r="X1528" i="6"/>
  <c r="Y1528" i="6" s="1"/>
  <c r="X546" i="6"/>
  <c r="Y546" i="6" s="1"/>
  <c r="X1041" i="6"/>
  <c r="X1339" i="6"/>
  <c r="Y1339" i="6" s="1"/>
  <c r="X788" i="6"/>
  <c r="Y788" i="6" s="1"/>
  <c r="X1323" i="6"/>
  <c r="Y1323" i="6" s="1"/>
  <c r="X1504" i="6"/>
  <c r="Y1504" i="6" s="1"/>
  <c r="X1496" i="6"/>
  <c r="Y1496" i="6" s="1"/>
  <c r="X870" i="6"/>
  <c r="Y870" i="6" s="1"/>
  <c r="X969" i="6"/>
  <c r="Y969" i="6" s="1"/>
  <c r="X813" i="6"/>
  <c r="Y813" i="6" s="1"/>
  <c r="X1461" i="6"/>
  <c r="Y1461" i="6" s="1"/>
  <c r="X372" i="6"/>
  <c r="Y372" i="6" s="1"/>
  <c r="X444" i="6"/>
  <c r="Y444" i="6" s="1"/>
  <c r="X588" i="6"/>
  <c r="Y588" i="6" s="1"/>
  <c r="X580" i="6"/>
  <c r="Y580" i="6" s="1"/>
  <c r="X572" i="6"/>
  <c r="Y572" i="6" s="1"/>
  <c r="X1532" i="6"/>
  <c r="Y1532" i="6" s="1"/>
  <c r="X1543" i="6"/>
  <c r="Y1543" i="6" s="1"/>
  <c r="X534" i="6"/>
  <c r="Y534" i="6" s="1"/>
  <c r="X526" i="6"/>
  <c r="Y526" i="6" s="1"/>
  <c r="X518" i="6"/>
  <c r="Y518" i="6" s="1"/>
  <c r="X738" i="6"/>
  <c r="Y738" i="6" s="1"/>
  <c r="X850" i="6"/>
  <c r="Y850" i="6" s="1"/>
  <c r="X1075" i="6"/>
  <c r="X1561" i="6"/>
  <c r="Y1561" i="6" s="1"/>
  <c r="X94" i="6"/>
  <c r="Y94" i="6" s="1"/>
  <c r="X1333" i="6"/>
  <c r="Y1333" i="6" s="1"/>
  <c r="X796" i="6"/>
  <c r="Y796" i="6" s="1"/>
  <c r="X1043" i="6"/>
  <c r="X1341" i="6"/>
  <c r="Y1341" i="6" s="1"/>
  <c r="X1560" i="6"/>
  <c r="Y1560" i="6" s="1"/>
  <c r="X740" i="6"/>
  <c r="Y740" i="6" s="1"/>
  <c r="X1317" i="6"/>
  <c r="Y1317" i="6" s="1"/>
  <c r="X1349" i="6"/>
  <c r="Y1349" i="6" s="1"/>
  <c r="X1465" i="6"/>
  <c r="Y1465" i="6" s="1"/>
  <c r="X1506" i="6"/>
  <c r="Y1506" i="6" s="1"/>
  <c r="X1498" i="6"/>
  <c r="Y1498" i="6" s="1"/>
  <c r="X872" i="6"/>
  <c r="Y872" i="6" s="1"/>
  <c r="X1035" i="6"/>
  <c r="Y1035" i="6" s="1"/>
  <c r="X132" i="6"/>
  <c r="Y132" i="6" s="1"/>
  <c r="X540" i="6"/>
  <c r="Y540" i="6" s="1"/>
  <c r="X815" i="6"/>
  <c r="Y815" i="6" s="1"/>
  <c r="X1243" i="6"/>
  <c r="Y1243" i="6" s="1"/>
  <c r="X1463" i="6"/>
  <c r="Y1463" i="6" s="1"/>
  <c r="X582" i="6"/>
  <c r="Y582" i="6" s="1"/>
  <c r="X1557" i="6"/>
  <c r="Y1557" i="6" s="1"/>
  <c r="X1319" i="6"/>
  <c r="Y1319" i="6" s="1"/>
  <c r="X866" i="6"/>
  <c r="Y866" i="6" s="1"/>
  <c r="X446" i="6"/>
  <c r="Y446" i="6" s="1"/>
  <c r="X548" i="6"/>
  <c r="Y548" i="6" s="1"/>
  <c r="X590" i="6"/>
  <c r="Y590" i="6" s="1"/>
  <c r="X574" i="6"/>
  <c r="Y574" i="6" s="1"/>
  <c r="X528" i="6"/>
  <c r="Y528" i="6" s="1"/>
  <c r="X520" i="6"/>
  <c r="Y520" i="6" s="1"/>
  <c r="X85" i="6"/>
  <c r="Y85" i="6" s="1"/>
  <c r="X852" i="6"/>
  <c r="Y852" i="6" s="1"/>
  <c r="X971" i="6"/>
  <c r="Y971" i="6" s="1"/>
  <c r="X1077" i="6"/>
  <c r="Y1077" i="6" s="1"/>
  <c r="X1069" i="6"/>
  <c r="Y1069" i="6" s="1"/>
  <c r="X1455" i="6"/>
  <c r="Y1455" i="6" s="1"/>
  <c r="X1490" i="6"/>
  <c r="Y1490" i="6" s="1"/>
  <c r="X88" i="6"/>
  <c r="Y88" i="6" s="1"/>
  <c r="X1335" i="6"/>
  <c r="Y1335" i="6" s="1"/>
  <c r="X542" i="6"/>
  <c r="Y542" i="6" s="1"/>
  <c r="X550" i="6"/>
  <c r="Y550" i="6" s="1"/>
  <c r="X107" i="6"/>
  <c r="Y107" i="6" s="1"/>
  <c r="X1508" i="6"/>
  <c r="Y1508" i="6" s="1"/>
  <c r="X1500" i="6"/>
  <c r="Y1500" i="6" s="1"/>
  <c r="X1547" i="6"/>
  <c r="Y1547" i="6" s="1"/>
  <c r="X1530" i="6"/>
  <c r="Y1530" i="6" s="1"/>
  <c r="X134" i="6"/>
  <c r="Y134" i="6" s="1"/>
  <c r="X592" i="6"/>
  <c r="Y592" i="6" s="1"/>
  <c r="X584" i="6"/>
  <c r="Y584" i="6" s="1"/>
  <c r="X576" i="6"/>
  <c r="Y576" i="6" s="1"/>
  <c r="X973" i="6"/>
  <c r="Y973" i="6" s="1"/>
  <c r="X530" i="6"/>
  <c r="Y530" i="6" s="1"/>
  <c r="X522" i="6"/>
  <c r="Y522" i="6" s="1"/>
  <c r="X514" i="6"/>
  <c r="Y514" i="6" s="1"/>
  <c r="X846" i="6"/>
  <c r="Y846" i="6" s="1"/>
  <c r="X1071" i="6"/>
  <c r="Y1071" i="6" s="1"/>
  <c r="X1457" i="6"/>
  <c r="Y1457" i="6" s="1"/>
  <c r="X1551" i="6"/>
  <c r="Y1551" i="6" s="1"/>
  <c r="X1509" i="6"/>
  <c r="Y1509" i="6" s="1"/>
  <c r="X1046" i="6"/>
  <c r="Y1046" i="6" s="1"/>
  <c r="X1037" i="6"/>
  <c r="Y1037" i="6" s="1"/>
  <c r="X1343" i="6"/>
  <c r="Y1343" i="6" s="1"/>
  <c r="X1501" i="6"/>
  <c r="Y1501" i="6" s="1"/>
  <c r="X1493" i="6"/>
  <c r="Y1493" i="6" s="1"/>
  <c r="X867" i="6"/>
  <c r="Y867" i="6" s="1"/>
  <c r="X1492" i="6"/>
  <c r="Y1492" i="6" s="1"/>
  <c r="X1552" i="6"/>
  <c r="Y1552" i="6" s="1"/>
  <c r="X1466" i="6"/>
  <c r="Y1466" i="6" s="1"/>
  <c r="X810" i="6"/>
  <c r="Y810" i="6" s="1"/>
  <c r="X1559" i="6"/>
  <c r="Y1559" i="6" s="1"/>
  <c r="X809" i="6"/>
  <c r="Y809" i="6" s="1"/>
  <c r="X974" i="6"/>
  <c r="Y974" i="6" s="1"/>
  <c r="X785" i="6"/>
  <c r="Y785" i="6" s="1"/>
  <c r="X847" i="6"/>
  <c r="Y847" i="6" s="1"/>
  <c r="X1320" i="6"/>
  <c r="Y1320" i="6" s="1"/>
  <c r="X1347" i="6"/>
  <c r="Y1347" i="6" s="1"/>
  <c r="X1497" i="6"/>
  <c r="Y1497" i="6" s="1"/>
  <c r="U1555" i="6"/>
  <c r="X1555" i="6" s="1"/>
  <c r="Y1555" i="6" s="1"/>
  <c r="U939" i="6"/>
  <c r="X939" i="6" s="1"/>
  <c r="Y939" i="6" s="1"/>
  <c r="U724" i="6"/>
  <c r="X724" i="6" s="1"/>
  <c r="Y724" i="6" s="1"/>
  <c r="S1548" i="6"/>
  <c r="U1548" i="6" s="1"/>
  <c r="X1548" i="6" s="1"/>
  <c r="Y1548" i="6" s="1"/>
  <c r="S1547" i="6"/>
  <c r="S1546" i="6"/>
  <c r="S1545" i="6"/>
  <c r="S1544" i="6"/>
  <c r="S1543" i="6"/>
  <c r="S542" i="6"/>
  <c r="S541" i="6"/>
  <c r="S540" i="6"/>
  <c r="AB1243" i="6"/>
  <c r="AB1244" i="6"/>
  <c r="AB1242" i="6"/>
  <c r="AB1512" i="6"/>
  <c r="U1512" i="6" s="1"/>
  <c r="X1512" i="6" s="1"/>
  <c r="Y1512" i="6" s="1"/>
  <c r="AB1513" i="6"/>
  <c r="U1513" i="6" s="1"/>
  <c r="X1513" i="6" s="1"/>
  <c r="Y1513" i="6" s="1"/>
  <c r="AB1514" i="6"/>
  <c r="U1514" i="6" s="1"/>
  <c r="X1514" i="6" s="1"/>
  <c r="Y1514" i="6" s="1"/>
  <c r="AB1515" i="6"/>
  <c r="U1515" i="6" s="1"/>
  <c r="X1515" i="6" s="1"/>
  <c r="Y1515" i="6" s="1"/>
  <c r="AB1516" i="6"/>
  <c r="U1516" i="6" s="1"/>
  <c r="X1516" i="6" s="1"/>
  <c r="Y1516" i="6" s="1"/>
  <c r="AB1517" i="6"/>
  <c r="U1517" i="6" s="1"/>
  <c r="X1517" i="6" s="1"/>
  <c r="AB1518" i="6"/>
  <c r="U1518" i="6" s="1"/>
  <c r="X1518" i="6" s="1"/>
  <c r="AB1519" i="6"/>
  <c r="U1519" i="6" s="1"/>
  <c r="X1519" i="6" s="1"/>
  <c r="Y1519" i="6" s="1"/>
  <c r="AB1520" i="6"/>
  <c r="U1520" i="6" s="1"/>
  <c r="X1520" i="6" s="1"/>
  <c r="Y1520" i="6" s="1"/>
  <c r="AB1521" i="6"/>
  <c r="AB1522" i="6"/>
  <c r="AB1511" i="6"/>
  <c r="U1511" i="6" s="1"/>
  <c r="X1511" i="6" s="1"/>
  <c r="Y1511" i="6" s="1"/>
  <c r="AB1489" i="6"/>
  <c r="AB1488" i="6"/>
  <c r="AB1487" i="6"/>
  <c r="AB1486" i="6"/>
  <c r="AB1485" i="6"/>
  <c r="AB1484" i="6"/>
  <c r="AB1483" i="6"/>
  <c r="AB1482" i="6"/>
  <c r="AB1302" i="6"/>
  <c r="AB1301" i="6"/>
  <c r="U1301" i="6" s="1"/>
  <c r="X1301" i="6" s="1"/>
  <c r="Y1301" i="6" s="1"/>
  <c r="AB1295" i="6"/>
  <c r="AB1299" i="6"/>
  <c r="AB1296" i="6"/>
  <c r="AB1300" i="6"/>
  <c r="AB1297" i="6"/>
  <c r="AB1298" i="6"/>
  <c r="AB1248" i="6"/>
  <c r="U1248" i="6" s="1"/>
  <c r="X1248" i="6" s="1"/>
  <c r="Y1248" i="6" s="1"/>
  <c r="AB1247" i="6"/>
  <c r="U1247" i="6" s="1"/>
  <c r="X1247" i="6" s="1"/>
  <c r="Y1247" i="6" s="1"/>
  <c r="Y1518" i="6" l="1"/>
  <c r="D8" i="21"/>
  <c r="D6" i="21"/>
  <c r="Y1040" i="6"/>
  <c r="C6" i="21"/>
  <c r="D7" i="21"/>
  <c r="D5" i="21"/>
  <c r="C5" i="21"/>
  <c r="E5" i="21" s="1"/>
  <c r="Y1173" i="6"/>
  <c r="Y1075" i="6"/>
  <c r="B7" i="22" s="1"/>
  <c r="Y1043" i="6"/>
  <c r="Y1168" i="6"/>
  <c r="Y1169" i="6"/>
  <c r="C91" i="22"/>
  <c r="E91" i="22" s="1"/>
  <c r="C23" i="22"/>
  <c r="E23" i="22" s="1"/>
  <c r="B15" i="22"/>
  <c r="D15" i="22"/>
  <c r="F15" i="22" s="1"/>
  <c r="B54" i="22"/>
  <c r="C54" i="22"/>
  <c r="E54" i="22" s="1"/>
  <c r="B23" i="22"/>
  <c r="D23" i="22"/>
  <c r="F23" i="22" s="1"/>
  <c r="C70" i="22"/>
  <c r="E70" i="22" s="1"/>
  <c r="C71" i="22"/>
  <c r="E71" i="22" s="1"/>
  <c r="C8" i="22"/>
  <c r="E8" i="22" s="1"/>
  <c r="C13" i="22"/>
  <c r="E13" i="22" s="1"/>
  <c r="B79" i="22"/>
  <c r="D79" i="22"/>
  <c r="F79" i="22" s="1"/>
  <c r="D105" i="22"/>
  <c r="F105" i="22" s="1"/>
  <c r="B52" i="22"/>
  <c r="D52" i="22"/>
  <c r="F52" i="22" s="1"/>
  <c r="B13" i="21"/>
  <c r="B28" i="22"/>
  <c r="D28" i="22"/>
  <c r="F28" i="22" s="1"/>
  <c r="D17" i="22"/>
  <c r="F17" i="22" s="1"/>
  <c r="B17" i="22"/>
  <c r="C22" i="22"/>
  <c r="E22" i="22" s="1"/>
  <c r="B93" i="22"/>
  <c r="D93" i="22"/>
  <c r="F93" i="22" s="1"/>
  <c r="B91" i="22"/>
  <c r="D91" i="22"/>
  <c r="F91" i="22" s="1"/>
  <c r="D13" i="22"/>
  <c r="F13" i="22" s="1"/>
  <c r="B13" i="22"/>
  <c r="D8" i="22"/>
  <c r="F8" i="22" s="1"/>
  <c r="B8" i="22"/>
  <c r="D35" i="22"/>
  <c r="F35" i="22" s="1"/>
  <c r="C29" i="22"/>
  <c r="E29" i="22" s="1"/>
  <c r="C90" i="22"/>
  <c r="E90" i="22" s="1"/>
  <c r="C76" i="22"/>
  <c r="E76" i="22" s="1"/>
  <c r="B84" i="22"/>
  <c r="C84" i="22"/>
  <c r="E84" i="22" s="1"/>
  <c r="C86" i="22"/>
  <c r="E86" i="22" s="1"/>
  <c r="C15" i="22"/>
  <c r="E15" i="22" s="1"/>
  <c r="D22" i="22"/>
  <c r="F22" i="22" s="1"/>
  <c r="B22" i="22"/>
  <c r="D4" i="22"/>
  <c r="F4" i="22" s="1"/>
  <c r="B29" i="22"/>
  <c r="D29" i="22"/>
  <c r="F29" i="22" s="1"/>
  <c r="D86" i="22"/>
  <c r="F86" i="22" s="1"/>
  <c r="B86" i="22"/>
  <c r="D102" i="22"/>
  <c r="F102" i="22" s="1"/>
  <c r="B102" i="22"/>
  <c r="C49" i="22"/>
  <c r="E49" i="22" s="1"/>
  <c r="B61" i="22"/>
  <c r="C61" i="22"/>
  <c r="E61" i="22" s="1"/>
  <c r="Y1045" i="6"/>
  <c r="B83" i="22"/>
  <c r="D83" i="22"/>
  <c r="F83" i="22" s="1"/>
  <c r="D49" i="22"/>
  <c r="F49" i="22" s="1"/>
  <c r="B49" i="22"/>
  <c r="B19" i="22"/>
  <c r="D19" i="22"/>
  <c r="F19" i="22" s="1"/>
  <c r="B76" i="22"/>
  <c r="D76" i="22"/>
  <c r="F76" i="22" s="1"/>
  <c r="B71" i="22"/>
  <c r="D71" i="22"/>
  <c r="F71" i="22" s="1"/>
  <c r="C19" i="22"/>
  <c r="E19" i="22" s="1"/>
  <c r="Y1041" i="6"/>
  <c r="C18" i="22"/>
  <c r="E18" i="22" s="1"/>
  <c r="D5" i="22"/>
  <c r="F5" i="22" s="1"/>
  <c r="B5" i="22"/>
  <c r="B64" i="22"/>
  <c r="C64" i="22"/>
  <c r="E64" i="22" s="1"/>
  <c r="B109" i="22"/>
  <c r="D109" i="22"/>
  <c r="F109" i="22" s="1"/>
  <c r="B112" i="22"/>
  <c r="D112" i="22"/>
  <c r="F112" i="22" s="1"/>
  <c r="D70" i="22"/>
  <c r="F70" i="22" s="1"/>
  <c r="B70" i="22"/>
  <c r="D7" i="22"/>
  <c r="F7" i="22" s="1"/>
  <c r="B92" i="22"/>
  <c r="D92" i="22"/>
  <c r="F92" i="22" s="1"/>
  <c r="B74" i="22"/>
  <c r="D74" i="22"/>
  <c r="F74" i="22" s="1"/>
  <c r="B21" i="22"/>
  <c r="D21" i="22"/>
  <c r="F21" i="22" s="1"/>
  <c r="B14" i="22"/>
  <c r="D14" i="22"/>
  <c r="F14" i="22" s="1"/>
  <c r="B24" i="22"/>
  <c r="D24" i="22"/>
  <c r="F24" i="22" s="1"/>
  <c r="D25" i="22"/>
  <c r="F25" i="22" s="1"/>
  <c r="B25" i="22"/>
  <c r="B56" i="22"/>
  <c r="D56" i="22"/>
  <c r="F56" i="22" s="1"/>
  <c r="C46" i="22"/>
  <c r="E46" i="22" s="1"/>
  <c r="C107" i="22"/>
  <c r="E107" i="22" s="1"/>
  <c r="C117" i="22"/>
  <c r="E117" i="22" s="1"/>
  <c r="C47" i="22"/>
  <c r="E47" i="22" s="1"/>
  <c r="B6" i="22"/>
  <c r="C6" i="22"/>
  <c r="E6" i="22" s="1"/>
  <c r="B20" i="22"/>
  <c r="D20" i="22"/>
  <c r="F20" i="22" s="1"/>
  <c r="D81" i="22"/>
  <c r="F81" i="22" s="1"/>
  <c r="B81" i="22"/>
  <c r="B101" i="22"/>
  <c r="D101" i="22"/>
  <c r="F101" i="22" s="1"/>
  <c r="D46" i="22"/>
  <c r="F46" i="22" s="1"/>
  <c r="B46" i="22"/>
  <c r="B72" i="22"/>
  <c r="D72" i="22"/>
  <c r="F72" i="22" s="1"/>
  <c r="B107" i="22"/>
  <c r="D107" i="22"/>
  <c r="F107" i="22" s="1"/>
  <c r="B18" i="22"/>
  <c r="D18" i="22"/>
  <c r="F18" i="22" s="1"/>
  <c r="B90" i="22"/>
  <c r="D90" i="22"/>
  <c r="F90" i="22" s="1"/>
  <c r="D9" i="22"/>
  <c r="F9" i="22" s="1"/>
  <c r="B9" i="22"/>
  <c r="B111" i="22"/>
  <c r="D111" i="22"/>
  <c r="F111" i="22" s="1"/>
  <c r="B47" i="22"/>
  <c r="D47" i="22"/>
  <c r="F47" i="22" s="1"/>
  <c r="D123" i="22"/>
  <c r="F123" i="22" s="1"/>
  <c r="B123" i="22"/>
  <c r="B51" i="22"/>
  <c r="C51" i="22"/>
  <c r="E51" i="22" s="1"/>
  <c r="C9" i="22"/>
  <c r="E9" i="22" s="1"/>
  <c r="B68" i="22"/>
  <c r="D68" i="22"/>
  <c r="F68" i="22" s="1"/>
  <c r="C66" i="22"/>
  <c r="E66" i="22" s="1"/>
  <c r="B36" i="21"/>
  <c r="C121" i="22"/>
  <c r="E121" i="22" s="1"/>
  <c r="B121" i="22"/>
  <c r="C81" i="22"/>
  <c r="E81" i="22" s="1"/>
  <c r="C96" i="22"/>
  <c r="E96" i="22" s="1"/>
  <c r="B96" i="22"/>
  <c r="D96" i="22"/>
  <c r="F96" i="22" s="1"/>
  <c r="B117" i="22"/>
  <c r="D117" i="22"/>
  <c r="F117" i="22" s="1"/>
  <c r="B66" i="22"/>
  <c r="D66" i="22"/>
  <c r="F66" i="22" s="1"/>
  <c r="Y1172" i="6"/>
  <c r="Y1044" i="6"/>
  <c r="Y1175" i="6"/>
  <c r="Y1074" i="6"/>
  <c r="Y1036" i="6"/>
  <c r="Y1517" i="6"/>
  <c r="B37" i="21"/>
  <c r="D37" i="21"/>
  <c r="F37" i="21" s="1"/>
  <c r="B10" i="21"/>
  <c r="D26" i="21"/>
  <c r="F26" i="21" s="1"/>
  <c r="D4" i="21"/>
  <c r="F4" i="21" s="1"/>
  <c r="D21" i="21"/>
  <c r="F21" i="21" s="1"/>
  <c r="B12" i="21"/>
  <c r="B21" i="21"/>
  <c r="D23" i="21"/>
  <c r="F23" i="21" s="1"/>
  <c r="B28" i="21"/>
  <c r="B18" i="21"/>
  <c r="B33" i="21"/>
  <c r="B17" i="21"/>
  <c r="D20" i="21"/>
  <c r="F20" i="21" s="1"/>
  <c r="B32" i="21"/>
  <c r="B26" i="21"/>
  <c r="B6" i="21"/>
  <c r="B20" i="21"/>
  <c r="C23" i="21"/>
  <c r="E23" i="21" s="1"/>
  <c r="D29" i="21"/>
  <c r="F29" i="21" s="1"/>
  <c r="B22" i="21"/>
  <c r="D10" i="21"/>
  <c r="F10" i="21" s="1"/>
  <c r="D30" i="21"/>
  <c r="F30" i="21" s="1"/>
  <c r="B16" i="21"/>
  <c r="D14" i="21"/>
  <c r="F14" i="21" s="1"/>
  <c r="B14" i="21"/>
  <c r="B25" i="21"/>
  <c r="B34" i="21"/>
  <c r="C36" i="21"/>
  <c r="E36" i="21" s="1"/>
  <c r="C10" i="21"/>
  <c r="E10" i="21" s="1"/>
  <c r="B15" i="21"/>
  <c r="C20" i="21"/>
  <c r="E20" i="21" s="1"/>
  <c r="B31" i="21"/>
  <c r="B19" i="21"/>
  <c r="D3" i="21"/>
  <c r="F3" i="21" s="1"/>
  <c r="B5" i="21"/>
  <c r="B23" i="21"/>
  <c r="D13" i="21"/>
  <c r="F13" i="21" s="1"/>
  <c r="C26" i="21"/>
  <c r="E26" i="21" s="1"/>
  <c r="C18" i="21"/>
  <c r="E18" i="21" s="1"/>
  <c r="D28" i="21"/>
  <c r="F28" i="21" s="1"/>
  <c r="D22" i="21"/>
  <c r="F22" i="21" s="1"/>
  <c r="C15" i="21"/>
  <c r="E15" i="21" s="1"/>
  <c r="D18" i="21"/>
  <c r="F18" i="21" s="1"/>
  <c r="D12" i="21"/>
  <c r="F12" i="21" s="1"/>
  <c r="D17" i="21"/>
  <c r="F17" i="21" s="1"/>
  <c r="F7" i="21"/>
  <c r="D16" i="21"/>
  <c r="F16" i="21" s="1"/>
  <c r="D33" i="21"/>
  <c r="F33" i="21" s="1"/>
  <c r="D34" i="21"/>
  <c r="F34" i="21" s="1"/>
  <c r="D32" i="21"/>
  <c r="F32" i="21" s="1"/>
  <c r="F6" i="21"/>
  <c r="D19" i="21"/>
  <c r="F19" i="21" s="1"/>
  <c r="F8" i="21"/>
  <c r="C31" i="21"/>
  <c r="E31" i="21" s="1"/>
  <c r="C13" i="21"/>
  <c r="E13" i="21" s="1"/>
  <c r="C34" i="21"/>
  <c r="E34" i="21" s="1"/>
  <c r="C21" i="21"/>
  <c r="E21" i="21" s="1"/>
  <c r="C25" i="21"/>
  <c r="E25" i="21" s="1"/>
  <c r="C22" i="21"/>
  <c r="E22" i="21" s="1"/>
  <c r="D25" i="21"/>
  <c r="F25" i="21" s="1"/>
  <c r="D31" i="21"/>
  <c r="F31" i="21" s="1"/>
  <c r="E6" i="21"/>
  <c r="F5" i="21"/>
  <c r="C17" i="21"/>
  <c r="E17" i="21" s="1"/>
  <c r="C19" i="21"/>
  <c r="E19" i="21" s="1"/>
  <c r="C16" i="21"/>
  <c r="E16" i="21" s="1"/>
  <c r="C12" i="21"/>
  <c r="E12" i="21" s="1"/>
  <c r="C7" i="21" l="1"/>
  <c r="B7" i="21"/>
  <c r="B27" i="22"/>
  <c r="C4" i="21"/>
  <c r="E4" i="21" s="1"/>
  <c r="C7" i="22"/>
  <c r="E7" i="22" s="1"/>
  <c r="C35" i="22"/>
  <c r="E35" i="22" s="1"/>
  <c r="C8" i="21"/>
  <c r="E8" i="21" s="1"/>
  <c r="E7" i="21"/>
  <c r="B29" i="21"/>
  <c r="B35" i="22"/>
  <c r="C27" i="22"/>
  <c r="E27" i="22" s="1"/>
  <c r="B105" i="22"/>
  <c r="C29" i="21"/>
  <c r="E29" i="21" s="1"/>
  <c r="B4" i="21"/>
  <c r="B3" i="21"/>
  <c r="C3" i="21"/>
  <c r="E3" i="21" s="1"/>
  <c r="C105" i="22"/>
  <c r="E105" i="22" s="1"/>
  <c r="C30" i="21"/>
  <c r="E30" i="21" s="1"/>
  <c r="B8" i="21"/>
  <c r="B4" i="22"/>
  <c r="B30" i="21"/>
  <c r="C4" i="22"/>
  <c r="E4" i="22" s="1"/>
</calcChain>
</file>

<file path=xl/sharedStrings.xml><?xml version="1.0" encoding="utf-8"?>
<sst xmlns="http://purl.oclc.org/ooxml/spreadsheetml/main" count="40472" uniqueCount="2974">
  <si>
    <t>List of value types in which the value can be described. We prefer annual per hectare values, but for some services or ecosystems it is better to express the value in other ways. See table ValueTypes in TEEB Valuation Database Report Appendix 1, table Biomes (Van der Ploeg et al (2010))</t>
  </si>
  <si>
    <t>De Groot, R.S., P. Kumar, S. van der Ploeg and P. Sukhdev (2010a) Estimates of monetary values of ecosystem services. Appendix 3 in: Kumar, P. (editor) (2010). The Economics of Ecosystems and Biodiversity: Ecological and Economic Foundations. ISBN 9781849712125, Earthscan, London, UK</t>
  </si>
  <si>
    <t>De Groot, R.S., B. Fisher, M. Christie,  J. Aronson, L. Braat, R. Haines-Young, J. Gowdy, E. Maltby, A. Neuville, S. Polasky, R. Portela, and I. Ring (2010b). Integrating the ecological and economic dimensions in biodiversity and ecosystem service valuation. Chapter 1 in: Kumar, P. (editor) (2010) The Economics of Ecosystems and Biodiversity: Ecological and Economic Foundations. ISBN 9781849712125, Earthscan, London, UK</t>
  </si>
  <si>
    <t>Below the variables included in the TEEB Valuation Database are listed and described</t>
  </si>
  <si>
    <t>One Time Payment / WTP</t>
  </si>
  <si>
    <t>Aquaculture</t>
  </si>
  <si>
    <t>Checked and Not Selected</t>
  </si>
  <si>
    <t>Factor Income / Production Function</t>
  </si>
  <si>
    <t>Solar Energy</t>
  </si>
  <si>
    <t>Spiritual</t>
  </si>
  <si>
    <t>Inspiration</t>
  </si>
  <si>
    <t>Artistic inspiration</t>
  </si>
  <si>
    <t>Estuaries</t>
  </si>
  <si>
    <t>Spiritual / Religious use</t>
  </si>
  <si>
    <t>Biochemicals</t>
  </si>
  <si>
    <t>Industrial water</t>
  </si>
  <si>
    <t>Choice Modeling</t>
  </si>
  <si>
    <t>River discharge</t>
  </si>
  <si>
    <t>Drainage</t>
  </si>
  <si>
    <t>Cultural use</t>
  </si>
  <si>
    <t>Microclimate regulation</t>
  </si>
  <si>
    <t>Other</t>
  </si>
  <si>
    <t>Pest control</t>
  </si>
  <si>
    <t>Disease control</t>
  </si>
  <si>
    <t>Seed dispersal</t>
  </si>
  <si>
    <t>Energy other</t>
  </si>
  <si>
    <t>Pastures tropical [cultivated]</t>
  </si>
  <si>
    <t>Replacement Cost</t>
  </si>
  <si>
    <t>Flood prevention</t>
  </si>
  <si>
    <t>Various</t>
  </si>
  <si>
    <t>Unknown</t>
  </si>
  <si>
    <t>Global</t>
  </si>
  <si>
    <t>Wetlands [unspecified]</t>
  </si>
  <si>
    <t>Tidal Marsh</t>
  </si>
  <si>
    <t>Shores</t>
  </si>
  <si>
    <t>Coastal</t>
  </si>
  <si>
    <t>BioControl</t>
  </si>
  <si>
    <t>Seagrass/algae beds</t>
  </si>
  <si>
    <t>Croplands</t>
  </si>
  <si>
    <t>Cultivated</t>
  </si>
  <si>
    <t>Water flows</t>
  </si>
  <si>
    <t>Water regulation [unspecified]</t>
  </si>
  <si>
    <t>Continental Shelf Sea</t>
  </si>
  <si>
    <t>Soil fertility</t>
  </si>
  <si>
    <t>Nutrient cycling</t>
  </si>
  <si>
    <t>Salt water wetlands</t>
  </si>
  <si>
    <t>Soil formation</t>
  </si>
  <si>
    <t>Pollination</t>
  </si>
  <si>
    <t>Genetic</t>
  </si>
  <si>
    <t>Open water [general]</t>
  </si>
  <si>
    <t>Riparian buffer</t>
  </si>
  <si>
    <t>Ornamental</t>
  </si>
  <si>
    <t>Cognitive</t>
  </si>
  <si>
    <t>Education</t>
  </si>
  <si>
    <t>Aesthetic</t>
  </si>
  <si>
    <t>Attractive landscapes</t>
  </si>
  <si>
    <t>PES</t>
  </si>
  <si>
    <t>Science / Research</t>
  </si>
  <si>
    <t>Meditarranean woodlands</t>
  </si>
  <si>
    <t>Woodlands</t>
  </si>
  <si>
    <t>Fodder</t>
  </si>
  <si>
    <t>Landscape / district</t>
  </si>
  <si>
    <t>Air quality</t>
  </si>
  <si>
    <t>Capturing fine dust</t>
  </si>
  <si>
    <t>Gas regulation</t>
  </si>
  <si>
    <t>Soil detoxification</t>
  </si>
  <si>
    <t>Marginal</t>
  </si>
  <si>
    <t>Animal genetic resources</t>
  </si>
  <si>
    <t>TEEB VALUATION DATABASE VARIABLES</t>
  </si>
  <si>
    <t>For more information on the database, the variables and the classifications we kindly refer to TEEB database report (Van der Ploeg et al (2010)).</t>
  </si>
  <si>
    <t>Information</t>
  </si>
  <si>
    <t>Variable</t>
  </si>
  <si>
    <t>Description</t>
  </si>
  <si>
    <t>Automatically generated ID number of the Value. A Value is one valuation of a single ecosystem service of a single ecosystem with one valuation method.</t>
  </si>
  <si>
    <t>Indication of the selection of the estimate for the TEEB overview of estimates of monetary values of ecosystem services (TEEB D0 - Appendix 3 - De Groot et al.(2010a)).</t>
  </si>
  <si>
    <t>Biome (first select a biome)</t>
  </si>
  <si>
    <t>Main Biome/Ecosystem classification. Biomes are subdivided in Ecosystems. See TEEB Valuation Database Report Appendix 1, table Biomes (Van der Ploeg et al (2010))</t>
  </si>
  <si>
    <t>Second level classification of Ecosystem. See TEEB Valuation Database Report Appendix 1, table Biomes (Van der Ploeg et al (2010))</t>
  </si>
  <si>
    <t>SERVICE (First select a ESService)</t>
  </si>
  <si>
    <t>Main Ecosystem Service classification. Services are subdivided in SubServices. Them main TEEB Ecosystem Service See appendix 1, table ES Service</t>
  </si>
  <si>
    <t>Second level classification of Ecosystem Services. See table see appendix 1, ES SubService</t>
  </si>
  <si>
    <t>Name of Country/region/continent/World. Including some internationally recognized terretories. Primarily based on the WB and UN official classifications.</t>
  </si>
  <si>
    <t>Level of protection of the study area / landscape. (not / partially or completely protected). Based on Publication or additional information on the internet.</t>
  </si>
  <si>
    <t>Indicate the 'scale' / size of the study area / case study.</t>
  </si>
  <si>
    <t>Name of the case study location as published in the orginal publication.</t>
  </si>
  <si>
    <t>The Region in which the country is classified by the World Bank and UN.</t>
  </si>
  <si>
    <t>Population density as presented by World bank for 2005. Classes: &lt;150 = low density ; &gt;150 = high density and unknown</t>
  </si>
  <si>
    <t>Country Income Groups as presented by World bank for 2007.</t>
  </si>
  <si>
    <t>Complete text version of Latitude coordinate of case study Location (in WGS84 datum; Google Earth). Based on information in the original Publication or additional search on GoogleMaps and GoogleEarthe. Larger areas are also represented as a single point.</t>
  </si>
  <si>
    <t>Complete text version of Longitude coordinate of case study Location (in WGS84 datum; Google Earth). Based on information in the original Publication or additional search on GoogleMaps and GoogleEarthe. Larger areas are also represented as a single point.</t>
  </si>
  <si>
    <t>Year Of data Validation</t>
  </si>
  <si>
    <t>The year in which the value has been published or calculated (many studies indicate for which year the values have been standardized)</t>
  </si>
  <si>
    <t>List of valuation methods. Indicates how the value was estimated or measured. (See TEEB Valuation Database Report Appendix 1, table Biomes (Van der Ploeg et al (2010))</t>
  </si>
  <si>
    <t>The currency in which the value is specified in the publication</t>
  </si>
  <si>
    <t>Notes</t>
  </si>
  <si>
    <t>Notes on the reference, source of data etc</t>
  </si>
  <si>
    <t>The area which was used to value the ecosystem service. Only noted when indicated in orginal publication.</t>
  </si>
  <si>
    <t>Authors of the publication</t>
  </si>
  <si>
    <t>Year of publication</t>
  </si>
  <si>
    <t>Title of the publication</t>
  </si>
  <si>
    <t>Full title of the article / chapter / report</t>
  </si>
  <si>
    <t>References</t>
  </si>
  <si>
    <t>De Groot et al. (2010a)</t>
  </si>
  <si>
    <t>De Groot et al. (2010b)</t>
  </si>
  <si>
    <t>Van der Ploeg et al (2010)</t>
  </si>
  <si>
    <t xml:space="preserve">Van der Ploeg, S., Y. Wang, T. Gebre Weldmichael and R.S. de Groot (2010) The TEEB Valuation Database – a searchable database of 1310 estimates of monetary values of ecosystem services. Foundation for Sustainable Development, Wageningen, The Netherlands. </t>
  </si>
  <si>
    <t>Website</t>
  </si>
  <si>
    <t>This report and the datasett will be made available on the following website:</t>
  </si>
  <si>
    <t>Energy</t>
  </si>
  <si>
    <t>Hydro-electricity</t>
  </si>
  <si>
    <t>Waste</t>
  </si>
  <si>
    <t>Mitigation and Restoration Cost</t>
  </si>
  <si>
    <t>Water purification</t>
  </si>
  <si>
    <t>Peat wetlands</t>
  </si>
  <si>
    <t>Inland Wetlands</t>
  </si>
  <si>
    <t>Partially protected</t>
  </si>
  <si>
    <t>Group Valuation</t>
  </si>
  <si>
    <t>NTFPs [food only!]</t>
  </si>
  <si>
    <t>Tropical forest general</t>
  </si>
  <si>
    <t>Tropical Forest</t>
  </si>
  <si>
    <t>Province / Region</t>
  </si>
  <si>
    <t>Recreation</t>
  </si>
  <si>
    <t>Contingent Valuation</t>
  </si>
  <si>
    <t>Tourism</t>
  </si>
  <si>
    <t>Coral reefs</t>
  </si>
  <si>
    <t>Coral Reefs</t>
  </si>
  <si>
    <t>Raw materials</t>
  </si>
  <si>
    <t>Other Raw</t>
  </si>
  <si>
    <t>Tropical rain forests</t>
  </si>
  <si>
    <t>Kenya</t>
  </si>
  <si>
    <t>Lakes</t>
  </si>
  <si>
    <t>Climate</t>
  </si>
  <si>
    <t>Benefit Transfer</t>
  </si>
  <si>
    <t>C-sequestration</t>
  </si>
  <si>
    <t>Total Economic Value</t>
  </si>
  <si>
    <t>Boreal / coniferous Forests</t>
  </si>
  <si>
    <t>Forests [Temperate and Boreal]</t>
  </si>
  <si>
    <t>Country</t>
  </si>
  <si>
    <t>Swamps / marshes</t>
  </si>
  <si>
    <t>Municipality / city</t>
  </si>
  <si>
    <t>Medical</t>
  </si>
  <si>
    <t>Bioprospecting</t>
  </si>
  <si>
    <t>Biodiversity protection</t>
  </si>
  <si>
    <t>Forest [unspecified]</t>
  </si>
  <si>
    <t>Temperate deciduous forests</t>
  </si>
  <si>
    <t>Erosion</t>
  </si>
  <si>
    <t>Erosion prevention</t>
  </si>
  <si>
    <t>TEV</t>
  </si>
  <si>
    <t>Mangroves</t>
  </si>
  <si>
    <t>Coastal wetlands</t>
  </si>
  <si>
    <t>Savannah</t>
  </si>
  <si>
    <t>Not protected</t>
  </si>
  <si>
    <t>Timber</t>
  </si>
  <si>
    <t>Fuel wood and charcoal</t>
  </si>
  <si>
    <t>Fish</t>
  </si>
  <si>
    <t>Extreme events</t>
  </si>
  <si>
    <t>Storm protection</t>
  </si>
  <si>
    <t>Nursery</t>
  </si>
  <si>
    <t>Nursery service</t>
  </si>
  <si>
    <t>Ecotourism</t>
  </si>
  <si>
    <t>Travel Cost</t>
  </si>
  <si>
    <t>Temperate forest general</t>
  </si>
  <si>
    <t>Water Other</t>
  </si>
  <si>
    <t>Other ESS</t>
  </si>
  <si>
    <t>Present Value</t>
  </si>
  <si>
    <t>Rivers</t>
  </si>
  <si>
    <t>Semi-Desert</t>
  </si>
  <si>
    <t>Dyes, oils, cosmeitcs (Natural raw material for)</t>
  </si>
  <si>
    <t>Tropical natural grasslands</t>
  </si>
  <si>
    <t>Maintenance of soil structure</t>
  </si>
  <si>
    <t>Other grasslands</t>
  </si>
  <si>
    <t>Open ocean</t>
  </si>
  <si>
    <t>Capital / stock value</t>
  </si>
  <si>
    <t>Fire Prevention</t>
  </si>
  <si>
    <t>Coastal [unspecified]</t>
  </si>
  <si>
    <t>Country Income Group (World Bank 2007)</t>
  </si>
  <si>
    <t>Country Population Density (World Bank 2005)</t>
  </si>
  <si>
    <t>Hedonic Pricing</t>
  </si>
  <si>
    <t>Tropical dry forests</t>
  </si>
  <si>
    <t>Meat</t>
  </si>
  <si>
    <t>Annualized NPV</t>
  </si>
  <si>
    <t>Pastures tropical</t>
  </si>
  <si>
    <t>Agro-forestry [cultivated]</t>
  </si>
  <si>
    <t>Pollination of crops</t>
  </si>
  <si>
    <t>Desert</t>
  </si>
  <si>
    <t>Decorations / Handicrafts</t>
  </si>
  <si>
    <t>Other woodlands</t>
  </si>
  <si>
    <t>Air quality regulation [unspecified]</t>
  </si>
  <si>
    <t>ISO (2010) http://www.iso.org/iso/support/faqs/faqs_widely_used_standards/widely_used_standards_other/currency_codes/currency_codes_list-1.htm</t>
  </si>
  <si>
    <t>ISO (2010)</t>
  </si>
  <si>
    <t xml:space="preserve">The unit of Value (e.g. USD/ha/yr); abbreviations of the currencies are the ISO 4217 (ISO 2010) three letter codes. Also obsolete/former currencies can be used! Units and currencies as published in the original article are preferred. </t>
  </si>
  <si>
    <t xml:space="preserve">Most monetary values are shown as in the original article; NOT in the standardized unit (US$/ha/yr (2007-value) which was used for analysis of Appendix 3 (De Groot et al (2010a). </t>
  </si>
  <si>
    <t>standardized 2007-value?</t>
  </si>
  <si>
    <t>Some values have been published in the database as standardized values. These values are marked with TRUE in this variable. These values are values that have been suggested by the biome authors of the TEEB study AND have been used for the calculations, but the original values have not been checked in the original publication. Therefore these values are shown in the standardized unit which was used for calculations (US$/ha/yr (2007-value)) and not shown in the original currency and year. The standardization procedure is explained in Van der Ploeg et al (2010)</t>
  </si>
  <si>
    <t>ID</t>
  </si>
  <si>
    <t>CASE STUDY LOCATION</t>
  </si>
  <si>
    <t>ADDITIONAL INFORMATION</t>
  </si>
  <si>
    <t>VALUE INFORMATION</t>
  </si>
  <si>
    <t>REFERENCE</t>
  </si>
  <si>
    <t>Full reference</t>
  </si>
  <si>
    <t>Year Of Validation</t>
  </si>
  <si>
    <t>Valuation Method</t>
  </si>
  <si>
    <t>Scale of research</t>
  </si>
  <si>
    <t>Location Name</t>
  </si>
  <si>
    <t>Region (World Bank classes)</t>
  </si>
  <si>
    <t>Protected Status</t>
  </si>
  <si>
    <t>Used for TEEB analysis?</t>
  </si>
  <si>
    <t>Year Of Publication</t>
  </si>
  <si>
    <t>Refugia for migratory and resident species</t>
  </si>
  <si>
    <t>Tropical woodlands</t>
  </si>
  <si>
    <t>Marine [unspecified]</t>
  </si>
  <si>
    <t>Marine</t>
  </si>
  <si>
    <t>Fibers</t>
  </si>
  <si>
    <t>Plants / vegetable food</t>
  </si>
  <si>
    <t>Orchards</t>
  </si>
  <si>
    <t>Biomass fuels</t>
  </si>
  <si>
    <t>Grasslands [unspecified]</t>
  </si>
  <si>
    <t>Plot</t>
  </si>
  <si>
    <t>Floodplains</t>
  </si>
  <si>
    <t>Deposition of nutrients</t>
  </si>
  <si>
    <t>Natural irrigation</t>
  </si>
  <si>
    <t>ValueID</t>
  </si>
  <si>
    <t>ESService</t>
  </si>
  <si>
    <t>Value</t>
  </si>
  <si>
    <t>ESSubservice</t>
  </si>
  <si>
    <t>ValueType</t>
  </si>
  <si>
    <t>Ecosystem</t>
  </si>
  <si>
    <t>Unit</t>
  </si>
  <si>
    <t>ServiceArea</t>
  </si>
  <si>
    <t>Biome</t>
  </si>
  <si>
    <t>Currency</t>
  </si>
  <si>
    <t>Region</t>
  </si>
  <si>
    <t>Continent</t>
  </si>
  <si>
    <t>Authors</t>
  </si>
  <si>
    <t>Title</t>
  </si>
  <si>
    <t>Latitude N-S</t>
  </si>
  <si>
    <t>Longitude E-W</t>
  </si>
  <si>
    <t>Food</t>
  </si>
  <si>
    <t>Direct market pricing</t>
  </si>
  <si>
    <t>Annual</t>
  </si>
  <si>
    <t>Multiple ecosystems</t>
  </si>
  <si>
    <t>Multiple Ecosystems</t>
  </si>
  <si>
    <t>Protected</t>
  </si>
  <si>
    <t>Local</t>
  </si>
  <si>
    <t>Water</t>
  </si>
  <si>
    <t>Avoided Cost</t>
  </si>
  <si>
    <t>Drinking water</t>
  </si>
  <si>
    <t>Annual (Range)</t>
  </si>
  <si>
    <t>Temperate natural grasslands</t>
  </si>
  <si>
    <t>Grasslands</t>
  </si>
  <si>
    <t>Net Present Value</t>
  </si>
  <si>
    <t>Irrigation water [unnatural]</t>
  </si>
  <si>
    <t>http://www.es-partnership.org/esp/80763/5/0/50</t>
  </si>
  <si>
    <t xml:space="preserve">Urban </t>
  </si>
  <si>
    <t>Value Type</t>
  </si>
  <si>
    <t>Source</t>
  </si>
  <si>
    <t>StudyID</t>
  </si>
  <si>
    <t>Kasina, J. M., Mburu, J., Kraemer, M., &amp; Holm-Mueller, K.</t>
  </si>
  <si>
    <t>Economic benefit of crop pollination by bees: A case of Kakamega small-holder farming in western Kenya</t>
  </si>
  <si>
    <t>Ecosystem Services Valuation Database</t>
  </si>
  <si>
    <r>
      <t xml:space="preserve">Kasina, J. M., Mburu, J., Kraemer, M., &amp; Holm-Mueller, K. (2009). Economic benefit of crop pollination by bees: A case of Kakamega small-holder farming in western Kenya. </t>
    </r>
    <r>
      <rPr>
        <i/>
        <sz val="10"/>
        <rFont val="Calibri"/>
        <family val="2"/>
        <scheme val="minor"/>
      </rPr>
      <t>Journal of Economic Entomology</t>
    </r>
    <r>
      <rPr>
        <sz val="10"/>
        <rFont val="Calibri"/>
        <family val="2"/>
        <scheme val="minor"/>
      </rPr>
      <t xml:space="preserve">, </t>
    </r>
    <r>
      <rPr>
        <i/>
        <sz val="10"/>
        <rFont val="Calibri"/>
        <family val="2"/>
        <scheme val="minor"/>
      </rPr>
      <t>102</t>
    </r>
    <r>
      <rPr>
        <sz val="10"/>
        <rFont val="Calibri"/>
        <family val="2"/>
        <scheme val="minor"/>
      </rPr>
      <t>(2), 467–473.</t>
    </r>
  </si>
  <si>
    <t>Kakamega forest</t>
  </si>
  <si>
    <t>United States Dollar</t>
  </si>
  <si>
    <t>Valued Change</t>
  </si>
  <si>
    <t>Increase in income (US$) of a farmer that can be attributed to sufficient bee pollination service annually (two seasons): season 1:  Bambara nuts - season 2:  Passion fruit</t>
  </si>
  <si>
    <t>Increase in income (US$) of a farmer that can be attributed to sufficient bee pollination service annually (two seasons): season 1:  Bambara nuts - season 2:  Sunßower</t>
  </si>
  <si>
    <t>Increase in income (US$) of a farmer that can be attributed to sufficient bee pollination service annually (two seasons): season 1:  Bambara nuts - season 2: Tomatoes</t>
  </si>
  <si>
    <t>Increase in income (US$) of a farmer that can be attributed to sufficient bee pollination service annually (two seasons): season 1:  Bambara nuts - season 2: Capsicum</t>
  </si>
  <si>
    <t>Increase in income (US$) of a farmer that can be attributed to sufficient bee pollination service annually (two seasons): season 1:  Bambara nuts - season 2:  Bambara nuts</t>
  </si>
  <si>
    <t>Increase in income (US$) of a farmer that can be attributed to sufficient bee pollination service annually (two seasons): season 1: Green grams - season 2:    Passion fruit</t>
  </si>
  <si>
    <t>Increase in income (US$) of a farmer that can be attributed to sufficient bee pollination service annually (two seasons): season 1: Green grams - season 2:   Sunßower</t>
  </si>
  <si>
    <t>Increase in income (US$) of a farmer that can be attributed to sufficient bee pollination service annually (two seasons): season 1: Green grams - season 2:  Tomatoes</t>
  </si>
  <si>
    <t>Increase in income (US$) of a farmer that can be attributed to sufficient bee pollination service annually (two seasons): season 1: Green grams - season 2:  Capsicum</t>
  </si>
  <si>
    <t>Increase in income (US$) of a farmer that can be attributed to sufficient bee pollination service annually (two seasons): season 1:  Capsicum- season 2: Capsicum</t>
  </si>
  <si>
    <t>Increase in income (US$) of a farmer that can be attributed to sufficient bee pollination service annually (two seasons): season 1: Green grams - season 2:  Bambara nuts</t>
  </si>
  <si>
    <t>Increase in income (US$) of a farmer that can be attributed to sufficient bee pollination service annually (two seasons): season 1: Cowpeas- season 2: Passion fruit</t>
  </si>
  <si>
    <t>Increase in income (US$) of a farmer that can be attributed to sufficient bee pollination service annually (two seasons): season 1: Cowpeas- season 2:  Sunßower</t>
  </si>
  <si>
    <t>Increase in income (US$) of a farmer that can be attributed to sufficient bee pollination service annually (two seasons): season 1: Cowpeas- season 2: Tomatoes</t>
  </si>
  <si>
    <t>Increase in income (US$) of a farmer that can be attributed to sufficient bee pollination service annually (two seasons): season 1: Cowpeas- season 2: Capsicum</t>
  </si>
  <si>
    <t>Increase in income (US$) of a farmer that can be attributed to sufficient bee pollination service annually (two seasons): season 1: Cowpeas- season 2: Bambara nuts</t>
  </si>
  <si>
    <t>Increase in income (US$) of a farmer that can be attributed to sufficient bee pollination service annually (two seasons): season 1: Cowpeas- season 2: Green grams</t>
  </si>
  <si>
    <t>Increase in income (US$) of a farmer that can be attributed to sufficient bee pollination service annually (two seasons): season 1: Cowpeas- season 2: Cowpeas</t>
  </si>
  <si>
    <t>Increase in income (US$) of a farmer that can be attributed to sufficient bee pollination service annually (two seasons): season 1: beans- season 2:  Passion fruit</t>
  </si>
  <si>
    <t>Increase in income (US$) of a farmer that can be attributed to sufficient bee pollination service annually (two seasons): season 1: beans- season 2:  Sunßower</t>
  </si>
  <si>
    <t>Increase in income (US$) of a farmer that can be attributed to sufficient bee pollination service annually (two seasons): season 1: beans- season 2: Tomatoes</t>
  </si>
  <si>
    <t>Increase in income (US$) of a farmer that can be attributed to sufficient bee pollination service annually (two seasons): season 1: Green grams - season 2: Green grams</t>
  </si>
  <si>
    <t>Increase in income (US$) of a farmer that can be attributed to sufficient bee pollination service annually (two seasons): season 1:  Capsicum- season 2: Tomatoes</t>
  </si>
  <si>
    <t>Increase in income (US$) of a farmer that can be attributed to sufficient bee pollination service annually (two seasons): season 1:  Capsicum- season 2: Sunßower</t>
  </si>
  <si>
    <t>Increase in income (US$) of a farmer that can be attributed to sufficient bee pollination service annually (two seasons): season 1:  Capsicum- season 2: Passion fruit</t>
  </si>
  <si>
    <t>Increase in income (US$) of a farmer that can be attributed to sufficient bee pollination service annually (two seasons): season 1:  Passion fruit- season 2:   Passion fruit</t>
  </si>
  <si>
    <t>Increase in income (US$) of a farmer that can be attributed to sufficient bee pollination service annually (two seasons): season 1:  Sunßower- season 2:   Passion fruit</t>
  </si>
  <si>
    <t>Increase in income (US$) of a farmer that can be attributed to sufficient bee pollination service annually (two seasons): season 1:  Sunßower- season 2:  Sunßower</t>
  </si>
  <si>
    <t>Increase in income (US$) of a farmer that can be attributed to sufficient bee pollination service annually (two seasons): season 1:  Tomatoes- season 2:  Passion fruit</t>
  </si>
  <si>
    <t>Increase in income (US$) of a farmer that can be attributed to sufficient bee pollination service annually (two seasons): season 1:  Tomatoes- season 2: Sunßower</t>
  </si>
  <si>
    <t>Increase in income (US$) of a farmer that can be attributed to sufficient bee pollination service annually (two seasons): season 1:  Tomatoes- season 2: Tomatoes</t>
  </si>
  <si>
    <t>Increase in income (US$) of a farmer that can be attributed to sufficient bee pollination service annually (two seasons): season 1: beans- season 2:   Capsicum</t>
  </si>
  <si>
    <t>Increase in income (US$) of a farmer that can be attributed to sufficient bee pollination service annually (two seasons): season 1: beans- season 2:  Bambara nuts</t>
  </si>
  <si>
    <t>Increase in income (US$) of a farmer that can be attributed to sufficient bee pollination service annually (two seasons): season 1: beans- season 2: Cowpeas</t>
  </si>
  <si>
    <t>Increase in income (US$) of a farmer that can be attributed to sufficient bee pollination service annually (two seasons): season 1: beans- season 2: beans</t>
  </si>
  <si>
    <t>Increase in income (US$) of a farmer that can be attributed to sufficient bee pollination service annually (two seasons): season 1: beans- season 2:  Green grams</t>
  </si>
  <si>
    <t>USD/yr</t>
  </si>
  <si>
    <t xml:space="preserve">Diafas, I. </t>
  </si>
  <si>
    <t>Estimating the Economic Value of forest ecosystem services using stated preference methods: The case of Kakamega forest, Kenya</t>
  </si>
  <si>
    <t>Kenyan Shillings</t>
  </si>
  <si>
    <t>Average WTP for an increase in the supply of forest products, decrease in soil loss and increase in water availability</t>
  </si>
  <si>
    <t>KShs/yr</t>
  </si>
  <si>
    <t>Kshs/ha/yr</t>
  </si>
  <si>
    <t>KShs/household/yr</t>
  </si>
  <si>
    <t>Compensating surplus for Improved Services Scenario: The supply of forest  products is secured for 90 more years, soil loss is halted and water availability increases by 40% (without ASC)</t>
  </si>
  <si>
    <t>Compensating surplus for Improved Services Scenario: The supply of forest  products is secured for 90 more years, soil loss is halted and water availability increases by 40% (with ASC)</t>
  </si>
  <si>
    <t>Mountain or Polar</t>
  </si>
  <si>
    <t>Construction</t>
  </si>
  <si>
    <t>Recreation and tourism</t>
  </si>
  <si>
    <t xml:space="preserve">Mutoko, M. C., Hein, L., &amp; Shisanya, C. A. </t>
  </si>
  <si>
    <t>Tropical forest conservation versus conversion trade-offs: Insights from analysis of ecosystem services provided by Kakamega rainforest in Kenya</t>
  </si>
  <si>
    <t xml:space="preserve">Mutoko, M. C., Hein, L., &amp; Shisanya, C. A. (2015). Tropical forest conservation versus conversion trade-offs: Insights from analysis of ecosystem services provided by Kakamega rainforest in Kenya. Ecosystem Services, 14, 1–11. </t>
  </si>
  <si>
    <t>USD/ha/yr</t>
  </si>
  <si>
    <t>Total cultural value of the forest (ritual sites for male circumcision that would otherwise occur in hospitals)</t>
  </si>
  <si>
    <t>Total value of  wild edibles collected by locals</t>
  </si>
  <si>
    <t>Total value of herbal medicines collected by locals</t>
  </si>
  <si>
    <t>Total value of thatch grass collected by locals</t>
  </si>
  <si>
    <t>Total value of poles collected by locals</t>
  </si>
  <si>
    <t>Total value of natural fodder provided by grazing lands within the forest</t>
  </si>
  <si>
    <t>Total value of charcoal collected by locals</t>
  </si>
  <si>
    <t>Total value of fuelwood collected by locals</t>
  </si>
  <si>
    <t>Total value for recreation and tourism (based on combination of travel costs and entry fees).</t>
  </si>
  <si>
    <r>
      <t xml:space="preserve">Diafas, I. (2016). </t>
    </r>
    <r>
      <rPr>
        <i/>
        <sz val="10"/>
        <rFont val="Calibri"/>
        <family val="2"/>
        <scheme val="minor"/>
      </rPr>
      <t>Estimating the Economic Value of forest ecosystem services using stated preference methods: The case of Kakamega forest, Kenya</t>
    </r>
    <r>
      <rPr>
        <sz val="10"/>
        <rFont val="Calibri"/>
        <family val="2"/>
        <scheme val="minor"/>
      </rPr>
      <t xml:space="preserve"> [Georg-August-University Göttingen]. </t>
    </r>
  </si>
  <si>
    <t>Owuor, M. A., Mulwa, R., Otieno, P., Icely, J., &amp; Newton, A.</t>
  </si>
  <si>
    <t xml:space="preserve">Valuing mangrove biodiversity and ecosystem services: A deliberative choice experiment in Mida Creek, Kenya. </t>
  </si>
  <si>
    <t>Owuor, M. A., Mulwa, R., Otieno, P., Icely, J., &amp; Newton, A. (2019). Valuing mangrove biodiversity and ecosystem services: A deliberative choice experiment in Mida Creek, Kenya. Ecosystem Services, 40, 101040.</t>
  </si>
  <si>
    <t>Average WTP Education and research</t>
  </si>
  <si>
    <t>Average WTP Shoreline erosion protection</t>
  </si>
  <si>
    <t>Average WTP Biodiversity richness and abundance</t>
  </si>
  <si>
    <t>Average WTP Nursery and breeding ground for fish</t>
  </si>
  <si>
    <t>Mida Creek</t>
  </si>
  <si>
    <t>Karanja, J. M., &amp; Saito, O.</t>
  </si>
  <si>
    <t>Cost–benefit analysis of mangrove ecosystems in flood risk reduction: A case study of the Tana Delta, Kenya.</t>
  </si>
  <si>
    <t>Karanja, J. M., &amp; Saito, O. (2017). Cost–benefit analysis of mangrove ecosystems in flood risk reduction: A case study of the Tana Delta, Kenya. Sustainability Science, 13(2), 503.</t>
  </si>
  <si>
    <t>Zander, K. K., Drucker, A. G., &amp; Holm-Müller, K.</t>
  </si>
  <si>
    <t xml:space="preserve">Costing the conservation of animal genetic resources: The case of Borana cattle in Ethiopia and Kenya. </t>
  </si>
  <si>
    <t xml:space="preserve">Zander, K. K., Drucker, A. G., &amp; Holm-Müller, K. (2009). Costing the conservation of animal genetic resources: The case of Borana cattle in Ethiopia and Kenya. Journal of Arid Environments, 73(4), 550–556. </t>
  </si>
  <si>
    <t>Rukesa, Badasa, Kijiji &amp; Burbisa</t>
  </si>
  <si>
    <t>Total compensation requirements in a conservation programme for maintaining a safe minimum population of Ethiopian Borana cattle, including 5% administrative/ technical costs (rounded)</t>
  </si>
  <si>
    <t>Compensation requirements in a conservation programme for maintaining a safe minimum population of Ethiopian Borana cattle - for 1100 animals (100 households involved)</t>
  </si>
  <si>
    <t>Compensation requirements for a household with 11 adult cattle for maintaining a safe minimum population of Ethiopian Borana cattle</t>
  </si>
  <si>
    <t>Minimum WTA for replacing 1 animal from the herd with a Borana cow</t>
  </si>
  <si>
    <t>Eur/yr</t>
  </si>
  <si>
    <t>Euro</t>
  </si>
  <si>
    <t>Gazi Bay</t>
  </si>
  <si>
    <t>Simonit, S., &amp; Perrings, C.</t>
  </si>
  <si>
    <t xml:space="preserve">Sustainability and the value of the ‘regulating’ services: Wetlands and water quality in Lake Victoria. </t>
  </si>
  <si>
    <t xml:space="preserve">Simonit, S., &amp; Perrings, C. (2011). Sustainability and the value of the ‘regulating’ services: Wetlands and water quality in Lake Victoria. Ecological Economics, 70(6), 1189–1199. </t>
  </si>
  <si>
    <t>Yalla Swamp - Lake Victoria</t>
  </si>
  <si>
    <t>Compensation for farmers' on-farm nutrient buffering services</t>
  </si>
  <si>
    <t>Abila, R. O., &amp; Othina, A.</t>
  </si>
  <si>
    <t xml:space="preserve">What is the socio-economic value of the wetlands fisheries? The case of Yala Wetland in Kenya. </t>
  </si>
  <si>
    <t xml:space="preserve">Abila, R. O., &amp; Othina, A. (2006). What is the socio-economic value of the wetlands fisheries? The case of Yala Wetland in Kenya. </t>
  </si>
  <si>
    <t>Lakes/Rivers</t>
  </si>
  <si>
    <t>Mwakubo, S., Ikiara, M., &amp; Abila, R.</t>
  </si>
  <si>
    <t>Socioeconomic and ecological determinants in wetland fisheries in the Yala Swamp.</t>
  </si>
  <si>
    <t>Mwakubo, S., Ikiara, M., &amp; Abila, R. (2007). Socioeconomic and ecological determinants in wetland fisheries in the Yala Swamp. Wetlands Ecology and Management - WETL ECOL MANAG, 15, 521–528.</t>
  </si>
  <si>
    <t>Yala Swamp</t>
  </si>
  <si>
    <t>USD/household/yr</t>
  </si>
  <si>
    <t xml:space="preserve">Estimation of the value of fish catch </t>
  </si>
  <si>
    <t>Mireri, C., Onjala, J., &amp; Oguge, N.</t>
  </si>
  <si>
    <t xml:space="preserve">The Economic Valuation of the Proposed Tana Integrated Sugar Project (TISP), Kenya. Undefined. </t>
  </si>
  <si>
    <t xml:space="preserve">Mireri, C., Onjala, J., &amp; Oguge, N. (2008). The Economic Valuation of the Proposed Tana Integrated Sugar Project (TISP), Kenya. Undefined. </t>
  </si>
  <si>
    <t>https://www.semanticscholar.org/paper/The-Economic-Valuation-of-the-Proposed-Tana-Sugar-Mireri-Onjala/d8974585f6794452bbe980fd99752aa06674b095</t>
  </si>
  <si>
    <t>Tana River Delta</t>
  </si>
  <si>
    <t>Annual value of tourism</t>
  </si>
  <si>
    <t>Annual value of water</t>
  </si>
  <si>
    <t>Annual value of fisheries</t>
  </si>
  <si>
    <t>Annual value of forest services</t>
  </si>
  <si>
    <t>Annual value of pasture</t>
  </si>
  <si>
    <t>Pasture</t>
  </si>
  <si>
    <t>UNEP</t>
  </si>
  <si>
    <t xml:space="preserve">Economic Analysis of mangrove forests: A case study in Gazi Bay, Kenya. </t>
  </si>
  <si>
    <t xml:space="preserve">UNEP. (2011). Economic Analysis of mangrove forests: A case study in Gazi Bay, Kenya. UNEP. </t>
  </si>
  <si>
    <t>https://wedocs.unep.org/xmlui/handle/20.500.11822/7948</t>
  </si>
  <si>
    <t>https://wedocs.unep.org/xmlui/handle/20.500.11822/7949</t>
  </si>
  <si>
    <t>https://wedocs.unep.org/xmlui/handle/20.500.11822/7950</t>
  </si>
  <si>
    <t>https://wedocs.unep.org/xmlui/handle/20.500.11822/7951</t>
  </si>
  <si>
    <t>https://wedocs.unep.org/xmlui/handle/20.500.11822/7952</t>
  </si>
  <si>
    <t>https://wedocs.unep.org/xmlui/handle/20.500.11822/7953</t>
  </si>
  <si>
    <t>Amondo, E., Kironchi, G., &amp; Wangia, S.</t>
  </si>
  <si>
    <t xml:space="preserve">Amondo, E., Kironchi, G., &amp; Wangia, S. (2013). Willingness to pay for improved water supply due to spring protection in Emuhaya disrict, Kenya. </t>
  </si>
  <si>
    <t xml:space="preserve">Willingness to pay for improved water supply due to spring protection in Emuhaya disrict, Kenya. </t>
  </si>
  <si>
    <t>http://erepository.uonbi.ac.ke/handle/11295/80218</t>
  </si>
  <si>
    <t>Emuhaya District</t>
  </si>
  <si>
    <t>Diafas, I., Barkmann, J., &amp; Mburu, J.</t>
  </si>
  <si>
    <t xml:space="preserve">Measurement of Bequest Value Using a Non-monetary Payment in a Choice Experiment—The Case of Improving Forest Ecosystem Services for the Benefit of Local Communities in Rural Kenya. </t>
  </si>
  <si>
    <t>https://doi.org/10.1016/j.ecolecon.2017.05.006</t>
  </si>
  <si>
    <t xml:space="preserve">Diafas, I., Barkmann, J., &amp; Mburu, J. (2017). Measurement of Bequest Value Using a Non-monetary Payment in a Choice Experiment—The Case of Improving Forest Ecosystem Services for the Benefit of Local Communities in Rural Kenya. Ecological Economics, 140, 157–165. </t>
  </si>
  <si>
    <t>30 years of secure supply of forest products</t>
  </si>
  <si>
    <t>50% reduction in soil loss</t>
  </si>
  <si>
    <t>20% increase inwater availability during the dry season</t>
  </si>
  <si>
    <t>Scopus</t>
  </si>
  <si>
    <t>No</t>
  </si>
  <si>
    <t>Ajwang’ Ondiek, R., Kitaka, N., &amp; Omondi Oduor, S.</t>
  </si>
  <si>
    <t xml:space="preserve">Assessment of provisioning and cultural ecosystem services in natural wetlands and rice fields in Kano floodplain, Kenya. </t>
  </si>
  <si>
    <t xml:space="preserve">Ajwang’ Ondiek, R., Kitaka, N., &amp; Omondi Oduor, S. (2016). Assessment of provisioning and cultural ecosystem services in natural wetlands and rice fields in Kano floodplain, Kenya. Ecosystem Services, 21, 166–173. Scopus. </t>
  </si>
  <si>
    <t>https://doi.org/10.1016/j.ecoser.2016.08.008</t>
  </si>
  <si>
    <t>KShs</t>
  </si>
  <si>
    <t>Kano Floodplain</t>
  </si>
  <si>
    <t>Income per farmer per year from papyrus mats</t>
  </si>
  <si>
    <t>USD/farmer/yr</t>
  </si>
  <si>
    <t>Income per farmer per year from rice</t>
  </si>
  <si>
    <t>Income per farmer per year from fish</t>
  </si>
  <si>
    <t>ServiceArea(ha)</t>
  </si>
  <si>
    <t>34°47′ 00″ E and35° 44′ 00″ E,</t>
  </si>
  <si>
    <t>0°07′ 00″ N and0° 20′00“S</t>
  </si>
  <si>
    <t>Yes</t>
  </si>
  <si>
    <t>Anyango-Van Zwieten, N., Van Der Duim, R., &amp; Visseren-Hamakers, I. J.</t>
  </si>
  <si>
    <t>Compensating for livestock killed by lions: Payment for environmental services as a policy arrangement.</t>
  </si>
  <si>
    <t>https://doi.org/10.1017/S0376892915000090</t>
  </si>
  <si>
    <t>Anyango-Van Zwieten, N., Van Der Duim, R., &amp; Visseren-Hamakers, I. J. (2014). Compensating for livestock killed by lions: Payment for environmental services as a policy arrangement. Environmental Conservation, 42(4), 363–372. Scopus.</t>
  </si>
  <si>
    <t>Revenue from tourism per lion</t>
  </si>
  <si>
    <t>USD/lion/yr</t>
  </si>
  <si>
    <t>Anyuor, S., Ayieko, M., &amp; Amulen, D.</t>
  </si>
  <si>
    <t>COMMERCIALIZATION OF ALATE TERMITES (Macrotermes sp.) TO IMPROVE HOUSEHOLDS’ LIVELIHOODS IN VIHIGA COUNTY, KENYA.</t>
  </si>
  <si>
    <t>https://doi.org/10.18697/ajfand.106.21085</t>
  </si>
  <si>
    <t>KShs/kg</t>
  </si>
  <si>
    <t>?</t>
  </si>
  <si>
    <t>Kibera</t>
  </si>
  <si>
    <t>Price of nile tilapia</t>
  </si>
  <si>
    <t>Price of african catfish</t>
  </si>
  <si>
    <t>Price of Lake Victoria sardine</t>
  </si>
  <si>
    <t>Price of Common carp</t>
  </si>
  <si>
    <t>Price of Nile perch</t>
  </si>
  <si>
    <t>Price of other fish</t>
  </si>
  <si>
    <t>Eur/kg</t>
  </si>
  <si>
    <t>Ayuya, O. I., Soma, K., &amp; Obwanga, B.</t>
  </si>
  <si>
    <t>Socio-economic drivers of fish species consumption preferences in kenya’s urban informal food system.</t>
  </si>
  <si>
    <t>Ayuya, O. I., Soma, K., &amp; Obwanga, B. (2021). Socio-economic drivers of fish species consumption preferences in kenya’s urban informal food system. Sustainability (Switzerland), 13(9). Scopus.</t>
  </si>
  <si>
    <t>https://doi.org/10.3390/su13095278</t>
  </si>
  <si>
    <t>0°13″ South and 1°40″</t>
  </si>
  <si>
    <t>35°36″ and 36°30″</t>
  </si>
  <si>
    <t>Baringo</t>
  </si>
  <si>
    <t xml:space="preserve">WTP for biodiversity conservation-Payment for management programme for Prosopis spp. </t>
  </si>
  <si>
    <t xml:space="preserve">WTP for water conservation-Payment for management programme for Prosopis spp. </t>
  </si>
  <si>
    <t xml:space="preserve">WTP for crop mobility-Payment for management programme for Prosopis spp. </t>
  </si>
  <si>
    <t xml:space="preserve">WTP for microclimate regulation-Payment for management programme for Prosopis spp. </t>
  </si>
  <si>
    <t xml:space="preserve">Household mean WTP-Payment for management programme for Prosopis spp. </t>
  </si>
  <si>
    <t xml:space="preserve">Aggregated mean annual social welfare-ayment for management programme for Prosopis spp. </t>
  </si>
  <si>
    <t xml:space="preserve">Aggregated mean discounted for 5 years at 3% annual social welfare-ayment for management programme for Prosopis spp. </t>
  </si>
  <si>
    <t xml:space="preserve">Aggregated mean discounted for 5 years at 5% annual social welfare-ayment for management programme for Prosopis spp. </t>
  </si>
  <si>
    <t xml:space="preserve">Aggregated mean discounted for 5 years at 7% social welfare-Payment for management programme for Prosopis spp. </t>
  </si>
  <si>
    <t>Bekele, K., Haji, J., Legesse, B., &amp; Schaffner, U.</t>
  </si>
  <si>
    <t>Economic impacts of Prosopis spp. invasions on dryland ecosystem services in Ethiopia and Kenya: Evidence from choice experimental data</t>
  </si>
  <si>
    <t>Bekele, K., Haji, J., Legesse, B., &amp; Schaffner, U. (2018). Economic impacts of Prosopis spp. invasions on dryland ecosystem services in Ethiopia and Kenya: Evidence from choice experimental data. Journal of Arid Environments, 158, 9–18. Scopus</t>
  </si>
  <si>
    <t>https://doi.org/10.1016/j.jaridenv.2018.07.001</t>
  </si>
  <si>
    <t>Mount Kenya- Meru, Embu, Nanyuki</t>
  </si>
  <si>
    <t>Income from beans for farmers participating in the PES scheme</t>
  </si>
  <si>
    <t>Income from potatoes for farmers participating in the PES scheme</t>
  </si>
  <si>
    <t>Income from maize for farmers participating in the PES scheme</t>
  </si>
  <si>
    <t>Income from coffee for farmers participating in the PES scheme</t>
  </si>
  <si>
    <t>Ecosystem payments for farmers participating in PES scheme</t>
  </si>
  <si>
    <t>Benjamin, E. O., Ola, O., &amp; Buchenrieder, G.</t>
  </si>
  <si>
    <t xml:space="preserve">Does an agroforestry scheme with payment for ecosystem services (PES) economically empower women in sub-Saharan Africa? </t>
  </si>
  <si>
    <t xml:space="preserve">Benjamin, E. O., Ola, O., &amp; Buchenrieder, G. (2018). Does an agroforestry scheme with payment for ecosystem services (PES) economically empower women in sub-Saharan Africa? Ecosystem Services, 31, 1–11. Scopus. </t>
  </si>
  <si>
    <t>https://doi.org/10.1016/j.ecoser.2018.03.004</t>
  </si>
  <si>
    <t>https://doi.org/10.1016/j.ecoser.2018.03.005</t>
  </si>
  <si>
    <t>https://doi.org/10.1016/j.ecoser.2018.03.006</t>
  </si>
  <si>
    <t>https://doi.org/10.1016/j.ecoser.2018.03.007</t>
  </si>
  <si>
    <t>https://doi.org/10.1016/j.ecoser.2018.03.008</t>
  </si>
  <si>
    <t>Value of forest grazing-Poor subsistence producers-Tea Zone</t>
  </si>
  <si>
    <t>Value of thatching grass-Poor subsistence producers-Tea Zone</t>
  </si>
  <si>
    <t>Value of firewood-Poor subsistence producers-Tea Zone</t>
  </si>
  <si>
    <t>Annual value of extraction-Poor subsistence producers-Tea Zone</t>
  </si>
  <si>
    <t>Value of forest grazing-Better off subsistence producers-Tea Zone</t>
  </si>
  <si>
    <t>Value of thatching grass-Better off subsistence producers-Tea Zone</t>
  </si>
  <si>
    <t>Value of firewood-Better off subsistence producers-Tea Zone</t>
  </si>
  <si>
    <t>Annual value of extraction-Better off subsistence producers-Tea Zone</t>
  </si>
  <si>
    <t>Value of forest grazing-Poor cash crop producers-Tea Zone</t>
  </si>
  <si>
    <t>Value of thatching grass-Poor cash crop producers-Tea Zone</t>
  </si>
  <si>
    <t>Value of firewood-Poor cash crop producers-Tea Zone</t>
  </si>
  <si>
    <t>Annual value of extraction-Poor cash crop producers-Tea Zone</t>
  </si>
  <si>
    <t>Value of forest grazing-Better off cash crop producers-Tea Zone</t>
  </si>
  <si>
    <t>Value of thatching grass-Better off cash crop producers-Tea Zone</t>
  </si>
  <si>
    <t>Value of firewood-Better off cash crop producers-Tea Zone</t>
  </si>
  <si>
    <t>Annual value of extraction-Better off cash crop producers-Tea Zone</t>
  </si>
  <si>
    <t>Value of forest grazing-Poor subsistence producers-Sugar cane zone</t>
  </si>
  <si>
    <t>Value of thatching grass-Poor subsistence producers-Sugar cane zone</t>
  </si>
  <si>
    <t>Value of firewood-Poor subsistence producers-Sugar cane zone</t>
  </si>
  <si>
    <t>Annual value of extraction-Poor subsistence producers-Sugar cane zone</t>
  </si>
  <si>
    <t>Value of forest grazing-Better off subsistence producers-Sugar cane zone</t>
  </si>
  <si>
    <t>Value of thatching grass-Better off subsistence producers-Sugar cane zone</t>
  </si>
  <si>
    <t>Value of firewood-Better off subsistence producers-Sugar cane zone</t>
  </si>
  <si>
    <t>Annual value of extraction-Better off subsistence producers-Sugar cane zone</t>
  </si>
  <si>
    <t>Value of forest grazing-Poor cash crop producers-Sugar cane zone</t>
  </si>
  <si>
    <t>Value of thatching grass-Poor cash crop producers-Sugar cane zone</t>
  </si>
  <si>
    <t>Value of firewood-Poor cash crop producers-Sugar cane zone</t>
  </si>
  <si>
    <t>Annual value of extraction-Poor cash crop producers-Sugar cane zone</t>
  </si>
  <si>
    <t>Value of forest grazing-Better off cash crop producers-Sugar cane zone</t>
  </si>
  <si>
    <t>Value of thatching grass-Better off cash crop producers-Sugar cane zone</t>
  </si>
  <si>
    <t>Value of firewood-Better off cash crop producers-Sugar cane zone</t>
  </si>
  <si>
    <t>Annual value of extraction-Better off cash crop producers-Sugar cane zone</t>
  </si>
  <si>
    <t>Eur/animal</t>
  </si>
  <si>
    <t>Börner, J., Mburu, J., Guthiga, P., &amp; Wambua, S.</t>
  </si>
  <si>
    <t>Assessing opportunity costs of conservation: Ingredients for protected area management in the Kakamega Forest, Western Kenya.</t>
  </si>
  <si>
    <t>Börner, J., Mburu, J., Guthiga, P., &amp; Wambua, S. (2009). Assessing opportunity costs of conservation: Ingredients for protected area management in the Kakamega Forest, Western Kenya. Forest Policy and Economics, 11(7), 459–467. Scopus.</t>
  </si>
  <si>
    <t>https://doi.org/10.1016/j.forpol.2009.05.004</t>
  </si>
  <si>
    <t>WTP for insect based feed-Fish pellets</t>
  </si>
  <si>
    <t>WTP for insect based feed-Fish-Creep feed</t>
  </si>
  <si>
    <t>WTP for insect based feed-Pig-Sow and weaner</t>
  </si>
  <si>
    <t>WTP for insect based feed-Pig-Pig finisher</t>
  </si>
  <si>
    <t>WTP for insect based feed-Poultry- Chick mash</t>
  </si>
  <si>
    <t>WTP for insect based feed-Poultry-Growers mash</t>
  </si>
  <si>
    <t>WTP for insect based feed-Poultry-Layers mash</t>
  </si>
  <si>
    <t>WTP for insect based feed-Poultry-Kienyeji mash</t>
  </si>
  <si>
    <t>WTP for insect based feed-Poultry-Broiler starter</t>
  </si>
  <si>
    <t>WTP for insect based feed-Poultry-Broiler finisher</t>
  </si>
  <si>
    <t>WTP for insect based feed-Poultry-Mash</t>
  </si>
  <si>
    <t>Kiambu, Nyeri, Kakamega, Uasin Gishu</t>
  </si>
  <si>
    <t>Chia, S. Y., Macharia, J., Diiro, G. M., Kassie, M., Ekesi, S., van Loon, J. J. A., Dicke, M., &amp; Tanga, C. M.</t>
  </si>
  <si>
    <t>Smallholder farmers’ knowledge and willingness to pay for insect-based feeds in Kenya.</t>
  </si>
  <si>
    <t xml:space="preserve">Chia, S. Y., Macharia, J., Diiro, G. M., Kassie, M., Ekesi, S., van Loon, J. J. A., Dicke, M., &amp; Tanga, C. M. (2020). Smallholder farmers’ knowledge and willingness to pay for insect-based feeds in Kenya. PLoS ONE, 15(3). Scopus. </t>
  </si>
  <si>
    <t>https://doi.org/10.1371/journal.pone.0230552</t>
  </si>
  <si>
    <t>Value of soil loss</t>
  </si>
  <si>
    <t>Value of forest loss</t>
  </si>
  <si>
    <t>Cohen, M. J., Brown, M. T., &amp; Shepherd, K. D.</t>
  </si>
  <si>
    <t>Estimating the environmental costs of soil erosion at multiple scales in Kenya using emergy synthesis.</t>
  </si>
  <si>
    <t xml:space="preserve">Cohen, M. J., Brown, M. T., &amp; Shepherd, K. D. (2006). Estimating the environmental costs of soil erosion at multiple scales in Kenya using emergy synthesis. Agriculture, Ecosystems and Environment, 114(2–4), 249–269. Scopus. </t>
  </si>
  <si>
    <t>https://doi.org/10.1016/j.agee.2005.10.021</t>
  </si>
  <si>
    <t>Funzi</t>
  </si>
  <si>
    <t>Value of timber, fuelwood and honey</t>
  </si>
  <si>
    <t>Value of capture fisheries(finfish)</t>
  </si>
  <si>
    <t>Value of capture fisheries(crustaceans)</t>
  </si>
  <si>
    <t>Protection against coastal erosion</t>
  </si>
  <si>
    <t>Protection against extreme weather events</t>
  </si>
  <si>
    <t>Carbon sequestration</t>
  </si>
  <si>
    <t>Toursim, education and research</t>
  </si>
  <si>
    <t>Total value of ecosystem services</t>
  </si>
  <si>
    <t>Value of ecosystem services per hectare</t>
  </si>
  <si>
    <t>Mwache</t>
  </si>
  <si>
    <t>Vanga</t>
  </si>
  <si>
    <t>Emerton, L.</t>
  </si>
  <si>
    <t>Valuing &amp; Investing in Ecosystems as Development Infrastructure: Economic analysis of options for climate-compatible development in coastal zones of Kenya &amp; Sri Lanka.</t>
  </si>
  <si>
    <t>Emerton, L. (2014). Valuing &amp; Investing in Ecosystems as Development Infrastructure: Economic analysis of options for climate-compatible development in coastal zones of Kenya &amp; Sri Lanka.</t>
  </si>
  <si>
    <t>https://doi.org/10.13140/2.1.2682.5284</t>
  </si>
  <si>
    <t>DOI</t>
  </si>
  <si>
    <t>Kwale Coastline</t>
  </si>
  <si>
    <t>BAU scenario- NPV at 10% for 20 years-Value of timber, fuelwood and honey</t>
  </si>
  <si>
    <t>BAU scenario-NPV at 10% for 20 years-Value of capture fisheries(finfish)</t>
  </si>
  <si>
    <t>BAU scenario-NPV at 10% for 20 years-Value of capture fisheries(crustaceans)</t>
  </si>
  <si>
    <t>BAU scenario-NPV at 10% for 20 years-Protection against coastal erosion</t>
  </si>
  <si>
    <t>BAU scenario-NPV at 10% for 20 years-Protection against extreme weather events</t>
  </si>
  <si>
    <t>BAU scenario-NPV at 10% for 20 years-Carbon sequestration</t>
  </si>
  <si>
    <t>BAU scenario-NPV at 10% for 20 years-Toursim, education and research</t>
  </si>
  <si>
    <t>BAU scenario-NPV at 10% for 20 years-Total value of ecosystem services</t>
  </si>
  <si>
    <t>Climate compatible development scenario- NPV at 10% for 20 years-Value of timber, fuelwood and honey</t>
  </si>
  <si>
    <t>Climate compatible development scenario-BAU scenario-NPV at 10% for 20 years-Value of capture fisheries(finfish)</t>
  </si>
  <si>
    <t>Climate compatible development scenario-BAU scenario-NPV at 10% for 20 years-Value of capture fisheries(crustaceans)</t>
  </si>
  <si>
    <t>Climate compatible development scenario-BAU scenario-NPV at 10% for 20 years-Protection against coastal erosion</t>
  </si>
  <si>
    <t>Climate compatible development scenario-BAU scenario-NPV at 10% for 20 years-Protection against extreme weather events</t>
  </si>
  <si>
    <t>Climate compatible development scenario-BAU scenario-NPV at 10% for 20 years-Carbon sequestration</t>
  </si>
  <si>
    <t>Climate compatible development scenario-BAU scenario-NPV at 10% for 20 years-Toursim, education and research</t>
  </si>
  <si>
    <t>Climate compatible development scenario-BAU scenario-NPV at 10% for 20 years-Total value of ecosystem services</t>
  </si>
  <si>
    <t>35° 20″ and 35° 45″</t>
  </si>
  <si>
    <t>0° 10′ and 0° 20′</t>
  </si>
  <si>
    <t>Elgeyo Watershed</t>
  </si>
  <si>
    <t>WTP for cultural services</t>
  </si>
  <si>
    <t>WTP for bequest value</t>
  </si>
  <si>
    <t xml:space="preserve">WTP for biodiversity conservation  </t>
  </si>
  <si>
    <t>Eregae, J. E., Njogu, P., Karanja, R., &amp; Gichua, M.</t>
  </si>
  <si>
    <t>Economic Valuation for Cultural and Passive Ecosystem Services Using a Stated Preference (Contingent Valuation Method (CVM)) Case of the Elgeyo Watershed Ecosystem, Kenya.</t>
  </si>
  <si>
    <t>Eregae, J. E., Njogu, P., Karanja, R., &amp; Gichua, M. (2021). Economic Valuation for Cultural and Passive Ecosystem Services Using a Stated Preference (Contingent Valuation Method (CVM)) Case of the Elgeyo Watershed Ecosystem, Kenya. International Journal of Forestry Research, 2021. Scopus.</t>
  </si>
  <si>
    <t>https://doi.org/10.1155/2021/5867745</t>
  </si>
  <si>
    <t>Mbirikani Group Ranch</t>
  </si>
  <si>
    <t>Wildlife revenues per household-Region 1</t>
  </si>
  <si>
    <t>Wildlife revenues per household-Region 2</t>
  </si>
  <si>
    <t>Wildlife revenues per household-Region 3</t>
  </si>
  <si>
    <t>Wildlife revenues per household-Region 4</t>
  </si>
  <si>
    <t>Wildlife revenues per household-Region 5</t>
  </si>
  <si>
    <t>Wildlife revenues per household-Average</t>
  </si>
  <si>
    <t>Wildlife revenues per ha</t>
  </si>
  <si>
    <t>2° 22′ and 2° 44′</t>
  </si>
  <si>
    <t>37° 24″ and 37° 52″</t>
  </si>
  <si>
    <t xml:space="preserve">Groom, R., &amp; Harris, S. </t>
  </si>
  <si>
    <t>Conservation on community lands: The importance of equitable revenue sharing.</t>
  </si>
  <si>
    <t xml:space="preserve">Groom, R., &amp; Harris, S. (2008). Conservation on community lands: The importance of equitable revenue sharing. Environmental Conservation, 35(3), 242–251. Scopus. </t>
  </si>
  <si>
    <t>https://doi.org/10.1017/S037689290800489X</t>
  </si>
  <si>
    <t>Arabuko-Sokoke Forest</t>
  </si>
  <si>
    <t>Ecotourism revenue from a suspended walkway above a mangrove</t>
  </si>
  <si>
    <t>Ecotourism revenue from tree platforms</t>
  </si>
  <si>
    <t>Jackson, M. M., &amp; Naughton-Treves, L.</t>
  </si>
  <si>
    <t>Eco-bursaries as incentives for conservation around Arabuko-Sokoke Forest, Kenya.</t>
  </si>
  <si>
    <t xml:space="preserve">Jackson, M. M., &amp; Naughton-Treves, L. (2012). Eco-bursaries as incentives for conservation around Arabuko-Sokoke Forest, Kenya. Environmental Conservation, 39(4), 347–356. Scopus. </t>
  </si>
  <si>
    <t>https://doi.org/10.1017/S0376892912000161</t>
  </si>
  <si>
    <t>Upper Tana River Basin</t>
  </si>
  <si>
    <t>USD/ton</t>
  </si>
  <si>
    <t>Total economic gain to catchment area from reducing sediment to Masinga Reservoir</t>
  </si>
  <si>
    <t xml:space="preserve">Price for each ton of sediment reduced to the Masinga Reservoir from reforestation </t>
  </si>
  <si>
    <t>Jacobs, J. H., Angerer, J., Vitale, J., Srinivasan, R., &amp; Kaitho, R.</t>
  </si>
  <si>
    <t>Mitigating economic damage in Kenya’s Upper Tana River Basin: An application of arc-view SWAT.</t>
  </si>
  <si>
    <t>Jacobs, J. H., Angerer, J., Vitale, J., Srinivasan, R., &amp; Kaitho, R. (2007). Mitigating economic damage in Kenya’s Upper Tana River Basin: An application of arc-view SWAT. Journal of Spatial Hydrology, 7(1), 23–46. Scopus.</t>
  </si>
  <si>
    <t>Income from firewood, timber, bushmeat, medicinal plants and wild food</t>
  </si>
  <si>
    <t>Income from crops</t>
  </si>
  <si>
    <t>Income from livestock</t>
  </si>
  <si>
    <t>Jiao, X., Walelign, S. Z., Nielsen, M. R., &amp; Smith-Hall, C.</t>
  </si>
  <si>
    <t>Protected areas, household environmental incomes and well-being in the Greater Serengeti-Mara Ecosystem.</t>
  </si>
  <si>
    <t>Jiao, X., Walelign, S. Z., Nielsen, M. R., &amp; Smith-Hall, C. (2019). Protected areas, household environmental incomes and well-being in the Greater Serengeti-Mara Ecosystem. Forest Policy and Economics, 106. Scopus.</t>
  </si>
  <si>
    <t>https://doi.org/10.1016/j.forpol.2019.101948</t>
  </si>
  <si>
    <t>USD/ha</t>
  </si>
  <si>
    <t>Total value of tradeable carbon at USD 10/tC</t>
  </si>
  <si>
    <t>Annual value of tradeable carbon at USD 10/tC</t>
  </si>
  <si>
    <t>Total annual income from mangrove ecotoursm</t>
  </si>
  <si>
    <t>Annual income per hectare from ecotourism</t>
  </si>
  <si>
    <t>USD</t>
  </si>
  <si>
    <t xml:space="preserve">Value of protection from shoreline erosion </t>
  </si>
  <si>
    <t>Kairo, J. G., Wanjiru, C., &amp; Ochiewo, J.</t>
  </si>
  <si>
    <t>Net pay: Economic analysis of a replanted mangrove plantation in Kenya.</t>
  </si>
  <si>
    <t xml:space="preserve">Kairo, J. G., Wanjiru, C., &amp; Ochiewo, J. (2009). Net pay: Economic analysis of a replanted mangrove plantation in Kenya. Journal of Sustainable Forestry, 28(3–5), 395–414. Scopus. </t>
  </si>
  <si>
    <t>https://doi.org/10.1080/10549810902791523</t>
  </si>
  <si>
    <t>4°25′ S</t>
  </si>
  <si>
    <t>39°50′</t>
  </si>
  <si>
    <t>Africa</t>
  </si>
  <si>
    <t>Karani, P., &amp; Failler, P.</t>
  </si>
  <si>
    <t>Comparative coastal and marine tourism, climate change, and the blue economy in African Large Marine Ecosystems.</t>
  </si>
  <si>
    <t xml:space="preserve">Karani, P., &amp; Failler, P. (2020). Comparative coastal and marine tourism, climate change, and the blue economy in African Large Marine Ecosystems. Environmental Development, 36. Scopus. </t>
  </si>
  <si>
    <t>https://doi.org/10.1016/j.envdev.2020.100572</t>
  </si>
  <si>
    <t>Kasigau</t>
  </si>
  <si>
    <t>Mara</t>
  </si>
  <si>
    <t xml:space="preserve">PES for value of carbon sequestration </t>
  </si>
  <si>
    <t>PES for REDD+ to prohibit land subdivision, wildlife poaching and to restrict settlements and grazing</t>
  </si>
  <si>
    <t>USD/acre/month</t>
  </si>
  <si>
    <t xml:space="preserve">Kariuki, J., Birner, R., &amp; Chomba, S. </t>
  </si>
  <si>
    <t xml:space="preserve">Exploring Institutional Factors Influencing Equity in Two Payments for Ecosystem Service Schemes. </t>
  </si>
  <si>
    <t xml:space="preserve">Kariuki, J., Birner, R., &amp; Chomba, S. (2018). Exploring Institutional Factors Influencing Equity in Two Payments for Ecosystem Service Schemes. Conservation and Society, 16(3), 320–337. Scopus. </t>
  </si>
  <si>
    <t>https://doi.org/10.4103/cs.cs-16-27</t>
  </si>
  <si>
    <t>Bench terraces- Benefit-Cost analysis for the introduction of Green Water Credits</t>
  </si>
  <si>
    <t>Conservation tillage-Benefit-Cost analysis for the introduction of Green Water Credits</t>
  </si>
  <si>
    <t>Contour tillage- Benefit-Cost analysis for the introduction of Green Water Credits</t>
  </si>
  <si>
    <t>Fanya Juu terraces- Benefit-Cost analysis for the introduction of Green Water Credits</t>
  </si>
  <si>
    <t>Grass strips- Benefit-Cost analysis for the introduction of Green Water Credits</t>
  </si>
  <si>
    <t>Micro catchments fruit trees- Benefit-Cost analysis for the introduction of Green Water Credits</t>
  </si>
  <si>
    <t>Mulching- Benefit-Cost analysis for the introduction of Green Water Credits</t>
  </si>
  <si>
    <t>Rangelands- Benefit-Cost analysis for the introduction of Green Water Credits</t>
  </si>
  <si>
    <t>Ridging- Benefit-Cost analysis for the introduction of Green Water Credits</t>
  </si>
  <si>
    <t>Riverine protection-Benefit-Cost analysis for the introduction of Green Water Credits</t>
  </si>
  <si>
    <t>Trash lines- Benefit-Cost analysis for the introduction of Green Water Credits</t>
  </si>
  <si>
    <t>Kauffman, S., Droogers, P., Hunink, J., Mwaniki, B., Muchena, F., Gicheru, P., Bindraban, P., Onduru, D., Cleveringa, R., &amp; Bouma, J.</t>
  </si>
  <si>
    <t xml:space="preserve">Green Water Credits-exploring its potential to enhance ecosystem services by reducing soil erosion in the Upper Tana basin, Kenya. International Journal of Biodiversity Science, Ecosystem Services and Management, 10(2), 133–143. Scopus. </t>
  </si>
  <si>
    <t xml:space="preserve">Kauffman, S., Droogers, P., Hunink, J., Mwaniki, B., Muchena, F., Gicheru, P., Bindraban, P., Onduru, D., Cleveringa, R., &amp; Bouma, J. (2014). Green Water Credits-exploring its potential to enhance ecosystem services by reducing soil erosion in the Upper Tana basin, Kenya. International Journal of Biodiversity Science, Ecosystem Services and Management, 10(2), 133–143. Scopus. </t>
  </si>
  <si>
    <t>https://doi.org/10.1080/21513732.2014.890670</t>
  </si>
  <si>
    <t xml:space="preserve">Mara River Basin </t>
  </si>
  <si>
    <t>Water value in Ol-Pusimoru</t>
  </si>
  <si>
    <t>Water value in Trans Mara</t>
  </si>
  <si>
    <t>Water value in East Mau</t>
  </si>
  <si>
    <t>Value of water supply to urban households</t>
  </si>
  <si>
    <t>Value of water supply to rural households</t>
  </si>
  <si>
    <t>Value of water supply for irrigation</t>
  </si>
  <si>
    <t>Value of water supply for livestock</t>
  </si>
  <si>
    <t>Value of water supply for wildlife</t>
  </si>
  <si>
    <t xml:space="preserve">Total value of water supply in the Mara Basin </t>
  </si>
  <si>
    <t>Value of tea yields in the Trans Mara forest</t>
  </si>
  <si>
    <t>Value of firewood for East Mau</t>
  </si>
  <si>
    <t>Value of firewood for Ol-Pusomoru</t>
  </si>
  <si>
    <t>Value of firewood for Trans Mara</t>
  </si>
  <si>
    <t>Value of poles in East Mau</t>
  </si>
  <si>
    <t>Value of poles in Ol-Pusomoru</t>
  </si>
  <si>
    <t>Value of poles in Trans Mara</t>
  </si>
  <si>
    <t>Value of charcoal in East Mau</t>
  </si>
  <si>
    <t>Value of charcoal in Ol-Pusomoru</t>
  </si>
  <si>
    <t>Value of charcoal in Trans Mara</t>
  </si>
  <si>
    <t>Value of grazing in East Mau</t>
  </si>
  <si>
    <t>Value of grazing in Ol-Pusomoru</t>
  </si>
  <si>
    <t>Value of grazing in Trans Mara</t>
  </si>
  <si>
    <t>Value of roof grass in East Mau</t>
  </si>
  <si>
    <t>Value of roof grass in Ol-Pusomoru</t>
  </si>
  <si>
    <t>Value of roof grass in Trans Mara</t>
  </si>
  <si>
    <t>Value of honey in East Mau</t>
  </si>
  <si>
    <t>Value of honey in Ol-Pusomoru</t>
  </si>
  <si>
    <t>Value of honey in Trans Mara</t>
  </si>
  <si>
    <t>Value of herbs in East Mau</t>
  </si>
  <si>
    <t>Value of herbs in Ol-Pusomoru</t>
  </si>
  <si>
    <t>Value of herbs in Trans Mara</t>
  </si>
  <si>
    <t>Value of timber in East Mau</t>
  </si>
  <si>
    <t>Value of timber in Trans Mara</t>
  </si>
  <si>
    <t>Total value of firewood</t>
  </si>
  <si>
    <t xml:space="preserve">Total value of poles   </t>
  </si>
  <si>
    <t>Total value of herbs</t>
  </si>
  <si>
    <t xml:space="preserve">Total value of timber  </t>
  </si>
  <si>
    <t>Total value of grazing</t>
  </si>
  <si>
    <t>Total value of roof grass</t>
  </si>
  <si>
    <t xml:space="preserve">Total value of honey </t>
  </si>
  <si>
    <t>Total value of charcoal</t>
  </si>
  <si>
    <t>Total benefit from the forest in East Mau</t>
  </si>
  <si>
    <t>Total benefit from the forest in Ol-Pusimoru</t>
  </si>
  <si>
    <t>Total benefit from the forest in Trans Mara</t>
  </si>
  <si>
    <t>Livestock value in Motorogi</t>
  </si>
  <si>
    <t>Livestock value in Mara North</t>
  </si>
  <si>
    <t>Livestock value in Olare Orok</t>
  </si>
  <si>
    <t>Livestock value in Lemek</t>
  </si>
  <si>
    <t>Livestock value in Pardamat</t>
  </si>
  <si>
    <t>Livestock value in Naboisho</t>
  </si>
  <si>
    <t>Livestock value in Enonkishu</t>
  </si>
  <si>
    <t>Livestock value in Ollarro North</t>
  </si>
  <si>
    <t>Livestock value in Ol Kinyei</t>
  </si>
  <si>
    <t>Livestock value in Siana</t>
  </si>
  <si>
    <t>Livestock value in Isaaten</t>
  </si>
  <si>
    <t>Livestock value in Olarro South</t>
  </si>
  <si>
    <t>Livestock value in Olchorro Oloua</t>
  </si>
  <si>
    <t>Livestock value in Nashulai</t>
  </si>
  <si>
    <t>Livestock value in Olderkesi</t>
  </si>
  <si>
    <t>Cabon value in Ololsukut</t>
  </si>
  <si>
    <t>Cabon value in Enonkishu</t>
  </si>
  <si>
    <t>Cabon value in Olchorro Oloua</t>
  </si>
  <si>
    <t>Cabon value in Siana</t>
  </si>
  <si>
    <t>Cabon value in Isaaten</t>
  </si>
  <si>
    <t>Cabon value in Olarro North</t>
  </si>
  <si>
    <t>Cabon value in Olderkesi</t>
  </si>
  <si>
    <t>Cabon value inPardamat</t>
  </si>
  <si>
    <t>Cabon value in Mara North</t>
  </si>
  <si>
    <t>Cabon value in Nashulai</t>
  </si>
  <si>
    <t>Cabon value in Olarro South</t>
  </si>
  <si>
    <t>Cabon value in Lemek</t>
  </si>
  <si>
    <t>Cabon value in Ol Kinyei</t>
  </si>
  <si>
    <t>Cabon value in Naboisho</t>
  </si>
  <si>
    <t>Cabon value in Olare Orok</t>
  </si>
  <si>
    <t>Cabon value in Motorogi</t>
  </si>
  <si>
    <t>Net benefit from tourism in the Maasai Mara</t>
  </si>
  <si>
    <t>Net benefit from tourism in the Conservancy</t>
  </si>
  <si>
    <t>Kiptala, J. K., Hessels, T., Laa, B., &amp; van der Zaag, P.</t>
  </si>
  <si>
    <t xml:space="preserve">An assessment of the value of an African landscape. The case of the Mara Basin, Kenya. Physics and Chemistry of the Earth, 107, 71–85. Scopus. </t>
  </si>
  <si>
    <t xml:space="preserve">Kiptala, J. K., Hessels, T., Laa, B., &amp; van der Zaag, P. (2018). An assessment of the value of an African landscape. The case of the Mara Basin, Kenya. Physics and Chemistry of the Earth, 107, 71–85. Scopus. </t>
  </si>
  <si>
    <t>https://doi.org/10.1016/j.pce.2018.09.009</t>
  </si>
  <si>
    <t>Value of carbon trading</t>
  </si>
  <si>
    <t>0°.10' and 0° 211N</t>
  </si>
  <si>
    <t>34.47 and 34° 58°E.</t>
  </si>
  <si>
    <t xml:space="preserve">Lagat, J. K., Vivian, J. B., &amp; Mburu, J. </t>
  </si>
  <si>
    <t>An estimation of carbon storage potential, economic value and determinants in Kakamega forest and adjacent farms, Kenya.</t>
  </si>
  <si>
    <t>Lagat, J. K., Vivian, J. B., &amp; Mburu, J. (2011). An estimation of carbon storage potential, economic value and determinants in Kakamega forest and adjacent farms, Kenya. In Handbook on Agroforestry: Management Practices and Environmental Impact (pp. 425–437). Scopus.</t>
  </si>
  <si>
    <t xml:space="preserve">Total direct use value </t>
  </si>
  <si>
    <t>Value of firewood per household</t>
  </si>
  <si>
    <t>Kshs</t>
  </si>
  <si>
    <t xml:space="preserve">Total value of grass thatching </t>
  </si>
  <si>
    <t>Total value of poles</t>
  </si>
  <si>
    <t>Total value of soil conservation</t>
  </si>
  <si>
    <t xml:space="preserve">Total future value of biodiversity for industrial use </t>
  </si>
  <si>
    <t>Net return from tea</t>
  </si>
  <si>
    <t xml:space="preserve">Net return from tea if the whole forest was put under tea growing </t>
  </si>
  <si>
    <t xml:space="preserve">Opportunity cost of conservation </t>
  </si>
  <si>
    <t xml:space="preserve">Total economic value </t>
  </si>
  <si>
    <t>Net benefit of conservation</t>
  </si>
  <si>
    <t>Average susbsistance value to local households</t>
  </si>
  <si>
    <t>Tindiret Forest</t>
  </si>
  <si>
    <t>Langat, D., &amp; Cheboiwo, J.</t>
  </si>
  <si>
    <t xml:space="preserve">To conserve or not to conserve: A case study of forest valuation in Kenya. </t>
  </si>
  <si>
    <t>Langat, D., &amp; Cheboiwo, J. (2010). To conserve or not to conserve: A case study of forest valuation in Kenya. Journal of Tropical Forest Science, 22(1), 5–12. Scopus.</t>
  </si>
  <si>
    <t>East Mau Forest</t>
  </si>
  <si>
    <t>Value of firewood</t>
  </si>
  <si>
    <t>Value of herbal medicine</t>
  </si>
  <si>
    <t>Value of poles</t>
  </si>
  <si>
    <t>Value of honey</t>
  </si>
  <si>
    <t>Valye of agricultural tools</t>
  </si>
  <si>
    <t>Value of meat</t>
  </si>
  <si>
    <t>Value of fruits</t>
  </si>
  <si>
    <t>Value of timber</t>
  </si>
  <si>
    <t>Value of murram</t>
  </si>
  <si>
    <t>Value of fibre</t>
  </si>
  <si>
    <t>Value of mushroom</t>
  </si>
  <si>
    <t>Value of charcoal</t>
  </si>
  <si>
    <t>Value of thatch grass</t>
  </si>
  <si>
    <t>Value of building stones</t>
  </si>
  <si>
    <t>35°58'00"E</t>
  </si>
  <si>
    <t>00°32'00"S</t>
  </si>
  <si>
    <t>Langat, D. K., Maranga, E. K., Aboud, A. A., &amp; Cheboiwo, J. K.</t>
  </si>
  <si>
    <t>Role of Forest Resources to Local Livelihoods: The Case of East Mau Forest Ecosystem, Kenya.</t>
  </si>
  <si>
    <t xml:space="preserve">Langat, D. K., Maranga, E. K., Aboud, A. A., &amp; Cheboiwo, J. K. (2016). Role of Forest Resources to Local Livelihoods: The Case of East Mau Forest Ecosystem, Kenya. International Journal of Forestry Research, 2016. Scopus. </t>
  </si>
  <si>
    <t>https://doi.org/10.1155/2016/4537354</t>
  </si>
  <si>
    <t>https://doi.org/10.1155/2016/4537355</t>
  </si>
  <si>
    <t>https://doi.org/10.1155/2016/4537356</t>
  </si>
  <si>
    <t>https://doi.org/10.1155/2016/4537357</t>
  </si>
  <si>
    <t>https://doi.org/10.1155/2016/4537358</t>
  </si>
  <si>
    <t>https://doi.org/10.1155/2016/4537359</t>
  </si>
  <si>
    <t>https://doi.org/10.1155/2016/4537360</t>
  </si>
  <si>
    <t>https://doi.org/10.1155/2016/4537361</t>
  </si>
  <si>
    <t>https://doi.org/10.1155/2016/4537362</t>
  </si>
  <si>
    <t>https://doi.org/10.1155/2016/4537363</t>
  </si>
  <si>
    <t>https://doi.org/10.1155/2016/4537364</t>
  </si>
  <si>
    <t>https://doi.org/10.1155/2016/4537365</t>
  </si>
  <si>
    <t>https://doi.org/10.1155/2016/4537366</t>
  </si>
  <si>
    <t>https://doi.org/10.1155/2016/4537367</t>
  </si>
  <si>
    <t>Forest income in Kapsimbeiywo</t>
  </si>
  <si>
    <t>Forest income in Silibwet</t>
  </si>
  <si>
    <t>Forest income in Kapkembu</t>
  </si>
  <si>
    <t>Forest income in Nessuit</t>
  </si>
  <si>
    <t>Forest income in Mariashoni</t>
  </si>
  <si>
    <t>Kericho</t>
  </si>
  <si>
    <t>USD/m3</t>
  </si>
  <si>
    <t>Unit value of grey water for tea</t>
  </si>
  <si>
    <t>Lowe, B. H., Oglethorpe, D. R., &amp; Choudhary, S.</t>
  </si>
  <si>
    <t>Comparing the economic value of virtual water with volumetric and stress-weighted approaches: A case for the tea supply chain.</t>
  </si>
  <si>
    <t xml:space="preserve">Lowe, B. H., Oglethorpe, D. R., &amp; Choudhary, S. (2020). Comparing the economic value of virtual water with volumetric and stress-weighted approaches: A case for the tea supply chain. Ecological Economics, 172. Scopus. </t>
  </si>
  <si>
    <t>https://doi.org/10.1016/j.ecolecon.2019.106572</t>
  </si>
  <si>
    <t>2.51°S</t>
  </si>
  <si>
    <t>37.59°E</t>
  </si>
  <si>
    <t>Maclennan, S. D., Groom, R. J., Macdonald, D. W., &amp; Frank, L. G.</t>
  </si>
  <si>
    <t>Evaluation of a compensation scheme to bring about pastoralist tolerance of lions.</t>
  </si>
  <si>
    <t xml:space="preserve">Maclennan, S. D., Groom, R. J., Macdonald, D. W., &amp; Frank, L. G. (2009). Evaluation of a compensation scheme to bring about pastoralist tolerance of lions. Biological Conservation, 142(11), 2419–2427. Scopus. </t>
  </si>
  <si>
    <t>https://doi.org/10.1016/j.biocon.2008.12.003</t>
  </si>
  <si>
    <t>Nyandarua District</t>
  </si>
  <si>
    <t>Cost of manual removal of Prosopis</t>
  </si>
  <si>
    <t>Budget to restore land to productive farmland adter Prosopis invasion</t>
  </si>
  <si>
    <t>Mbaabu, P. R., Schaffner, U., &amp; Eckert, S.</t>
  </si>
  <si>
    <t>Invasion of savannas by prosopis trees in eastern africa: Exploring their impacts on lulc dynamics, livelihoods and implications on soil organic carbon stocks.</t>
  </si>
  <si>
    <t>Mbaabu, P. R., Schaffner, U., &amp; Eckert, S. (2021). Invasion of savannas by prosopis trees in eastern africa: Exploring their impacts on lulc dynamics, livelihoods and implications on soil organic carbon stocks. 43(B3-2021), 335–340. Scopus.</t>
  </si>
  <si>
    <t>https://doi.org/10.5194/isprs-archives-XLIII-B3-2021-335-2021</t>
  </si>
  <si>
    <t xml:space="preserve">Direct benefits from hydroelectricity generation </t>
  </si>
  <si>
    <t>Direct benefits existing irrigation schemes in the lower Tana</t>
  </si>
  <si>
    <t>Direct benefits from reservoir fisheries in Masinga and Kamburu</t>
  </si>
  <si>
    <t>Reduced water treatment and sludge disposal after dam construction</t>
  </si>
  <si>
    <t>Increased hydropower generation after dam construction</t>
  </si>
  <si>
    <t>Marine fisheries ecosystem benefits after dam construction</t>
  </si>
  <si>
    <t xml:space="preserve">Shrimp fisheries ecosystem benefits after dam construction </t>
  </si>
  <si>
    <t>Livestock ecosystem benefits after dam construction</t>
  </si>
  <si>
    <t>McCartney, M., Foudi, S., Muthuwatta, L., Sood, A., Simons, G., Hunink, J., Vercruysse, K., &amp; Omuombo, C.</t>
  </si>
  <si>
    <t>Quantifying the services of natural and built infrastructure in the context of climate change: The case of the Tana River Basin, Kenya.</t>
  </si>
  <si>
    <t>McCartney, M., Foudi, S., Muthuwatta, L., Sood, A., Simons, G., Hunink, J., Vercruysse, K., &amp; Omuombo, C. (2019). Quantifying the services of natural and built infrastructure in the context of climate change: The case of the Tana River Basin, Kenya. IWMI Research Report, 174, 1–53. Scopus.</t>
  </si>
  <si>
    <t>https://doi.org/10.5337/2019.200</t>
  </si>
  <si>
    <t>Sauri</t>
  </si>
  <si>
    <t>Mean price of land in the Millenium Village Project</t>
  </si>
  <si>
    <t>Michelson, H., &amp; Tully, K.</t>
  </si>
  <si>
    <t xml:space="preserve">The Millennium Villages Project and Local Land Values: Using Hedonic Pricing Methods to Evaluate Development Projects. </t>
  </si>
  <si>
    <t xml:space="preserve">Michelson, H., &amp; Tully, K. (2018). The Millennium Villages Project and Local Land Values: Using Hedonic Pricing Methods to Evaluate Development Projects. World Development, 101, 377–387. Scopus. </t>
  </si>
  <si>
    <t>https://doi.org/10.1016/j.worlddev.2017.06.002</t>
  </si>
  <si>
    <t>Nakuru District</t>
  </si>
  <si>
    <t>Market value of cows</t>
  </si>
  <si>
    <t>Market value of male calves</t>
  </si>
  <si>
    <t>Total average annual income for a unit of two dairy cows</t>
  </si>
  <si>
    <t>Moll, H. A. J., Staal, S. J., &amp; Ibrahim, M. N. M.</t>
  </si>
  <si>
    <t xml:space="preserve">Smallholder dairy production and markets: A comparison of production systems in Zambia, Kenya and Sri Lanka. </t>
  </si>
  <si>
    <t xml:space="preserve">Moll, H. A. J., Staal, S. J., &amp; Ibrahim, M. N. M. (2007). Smallholder dairy production and markets: A comparison of production systems in Zambia, Kenya and Sri Lanka. Agricultural Systems, 94(2), 593–603. Scopus. </t>
  </si>
  <si>
    <t>https://doi.org/10.1016/j.agsy.2007.02.005</t>
  </si>
  <si>
    <t>Lake Naivasha basin</t>
  </si>
  <si>
    <t>USD/row/yr</t>
  </si>
  <si>
    <t>Willingness to accept compensation for restoration of riparian land and floodplain areas</t>
  </si>
  <si>
    <t>Willingness to accept compensation for environment-friendly conservation agriculture farming practices on farm households land</t>
  </si>
  <si>
    <t>Willingness to accept compensation for reforestation of degraded forest areas</t>
  </si>
  <si>
    <t>Mulatu, D. W., van der Veen, A., &amp; van Oel, P. R.</t>
  </si>
  <si>
    <t>Farm households’ preferences for collective and individual actions to improve water-related ecosystem services: The Lake Naivasha basin, Kenya.</t>
  </si>
  <si>
    <t>Mulatu, D. W., van der Veen, A., &amp; van Oel, P. R. (2014). Farm households’ preferences for collective and individual actions to improve water-related ecosystem services: The Lake Naivasha basin, Kenya. Ecosystem Services, 7, 22–33. Scopus.</t>
  </si>
  <si>
    <t>https://doi.org/10.1016/j.ecoser.2013.12.001</t>
  </si>
  <si>
    <t>Average willingness to invest in a water fund to improve water related ecosystem services- Large scale firms</t>
  </si>
  <si>
    <t>Average willingness to invest in a water fund to improve water related ecosystem services- Hotel and tourism business operators</t>
  </si>
  <si>
    <t>Average willingness to invest in a water fund to improve water related ecosystem services- Ranches</t>
  </si>
  <si>
    <t>Average willingness to invest in a water fund to improve water related ecosystem services- Water supply companies</t>
  </si>
  <si>
    <t>Average willingness to invest in a water fund to improve water related ecosystem services- Energy generation and supply companies</t>
  </si>
  <si>
    <t>Average willingness to invest in a water fund to improve water related ecosystem services- All firms</t>
  </si>
  <si>
    <t>Total willingness to invest in a water fund to improve water related ecosystem services- Large scale firms</t>
  </si>
  <si>
    <t>Total willingness to invest in a water fund to improve water related ecosystem services- Hotel and tourism business operators</t>
  </si>
  <si>
    <t>Total willingness to invest in a water fund to improve water related ecosystem services- Ranches</t>
  </si>
  <si>
    <t>Total willingness to invest in a water fund to improve water related ecosystem services- Water supply companies</t>
  </si>
  <si>
    <t>Total willingness to invest in a water fund to improve water related ecosystem services- Energy generation and supply companies</t>
  </si>
  <si>
    <t>Total willingness to invest in a water fund to improve water related ecosystem services- All firms</t>
  </si>
  <si>
    <t>Mulatu, D. W., van Oel, P. R., &amp; van der Veen, A.</t>
  </si>
  <si>
    <t xml:space="preserve">Firms’ willingness to invest in a water fund to improve water-related ecosystem services in the Lake Naivasha basin, Kenya. </t>
  </si>
  <si>
    <t xml:space="preserve">Mulatu, D. W., van Oel, P. R., &amp; van der Veen, A. (2015). Firms’ willingness to invest in a water fund to improve water-related ecosystem services in the Lake Naivasha basin, Kenya. Water International, 40(3), 463–482. Scopus. </t>
  </si>
  <si>
    <t>https://doi.org/10.1080/02508060.2015.1050580</t>
  </si>
  <si>
    <t>Annual cost of land degradation-Central region</t>
  </si>
  <si>
    <t>Annual cost of land degradation-Coastal region</t>
  </si>
  <si>
    <t>Annual cost of land degradation-Eastern region</t>
  </si>
  <si>
    <t>Annual cost of land degradation-Nairobi</t>
  </si>
  <si>
    <t>Annual cost of land degradation-North-Eastern region</t>
  </si>
  <si>
    <t>Annual cost of land degradation-Nyanza region</t>
  </si>
  <si>
    <t>Annual cost of land degradation-Rift Valley region</t>
  </si>
  <si>
    <t>Total annual cost of land degradation</t>
  </si>
  <si>
    <t>Annual cost of land degradation- Western region</t>
  </si>
  <si>
    <t>Total economic value of land ecosystems- Central region</t>
  </si>
  <si>
    <t>Total economic value of land ecosystems- Coastal region</t>
  </si>
  <si>
    <t>Total economic value of land ecosystems- Eastern region</t>
  </si>
  <si>
    <t>Total economic value of land ecosystems- Nairobi</t>
  </si>
  <si>
    <t>Total economic value of land ecosystems- North-Eastern region</t>
  </si>
  <si>
    <t>Total economic value of land ecosystems- Nyanza region</t>
  </si>
  <si>
    <t>Total economic value of land ecosystems- Rift Valley region</t>
  </si>
  <si>
    <t>Total economic value of land ecosystems- Western region</t>
  </si>
  <si>
    <t>Total economic value of land ecosystems</t>
  </si>
  <si>
    <t>Annual cost of land degradation</t>
  </si>
  <si>
    <t>Mulinge, W., Gicheru, P., Murithi, F., Maingi, P., Kihiu, E., Kirui, O. K., &amp; Mirzabaev, A.</t>
  </si>
  <si>
    <t>Economics of land degradation and improvement in Kenya. In Economics of Land Degradation and Improvement—A Global Assessment for Sustainable Development</t>
  </si>
  <si>
    <t>Mulinge, W., Gicheru, P., Murithi, F., Maingi, P., Kihiu, E., Kirui, O. K., &amp; Mirzabaev, A. (2015). Economics of land degradation and improvement in Kenya. In Economics of Land Degradation and Improvement—A Global Assessment for Sustainable Development (pp. 471–498). Scopus.</t>
  </si>
  <si>
    <t>https://doi.org/10.1007/978-3-319-19168-3_16</t>
  </si>
  <si>
    <t>The Njemps Flats</t>
  </si>
  <si>
    <t>35°45 and 36°30_x0002_E</t>
  </si>
  <si>
    <t>1°45 and 0°15_x0002_N</t>
  </si>
  <si>
    <t>Income from livestock fattening- Enclosures F1, F1a and F1b</t>
  </si>
  <si>
    <t>Income from grass seed harvesting- Enclosures F1, F1a and F1b</t>
  </si>
  <si>
    <t>Income from dry season grazing - Enclosures F1, F1a and F1b</t>
  </si>
  <si>
    <t>Income from bull days- Enclosures F1, F1a and F1b</t>
  </si>
  <si>
    <t>Income from goat days- Enclosures F1, F1a and F1b</t>
  </si>
  <si>
    <t>Income fromsheep days- Enclosures F1, F1a and F1b</t>
  </si>
  <si>
    <t>Income from thatching grass- Enclosures F1, F1a and F1b</t>
  </si>
  <si>
    <t>Income from hay baling- Enclosures F1, F1a and F1b</t>
  </si>
  <si>
    <t>Income from honey- Enclosures F1, F1a and F1b</t>
  </si>
  <si>
    <t>Income from building poles/fencing posts- Enclosures F1, F1a and F1b</t>
  </si>
  <si>
    <t>Income from firewood bundles- Enclosures F1, F1a and F1b</t>
  </si>
  <si>
    <t>Income from charcoal bags- Enclosures F1, F1a and F1b</t>
  </si>
  <si>
    <t>Income from research fees- Enclosures F1, F1a and F1b</t>
  </si>
  <si>
    <t>Income from livestock fattening- Enclosures F2, F2a and F2b</t>
  </si>
  <si>
    <t>Income from grass seed harvesting-Enclosures F2, F2a and F2b</t>
  </si>
  <si>
    <t>Income from dry season grazing - Enclosures F2, F2a and F2b</t>
  </si>
  <si>
    <t>Income from bull days- Enclosures F2, F2a and F2b</t>
  </si>
  <si>
    <t>Income fromsheep days-Enclosures F2, F2a and F2b</t>
  </si>
  <si>
    <t>Income from thatching grass- Enclosures F2, F2a and F2b</t>
  </si>
  <si>
    <t>Income from hay baling- Enclosures F2, F2a and F2b</t>
  </si>
  <si>
    <t>Income from calf days- Enclosures F2, F2a and F2b</t>
  </si>
  <si>
    <t>Income from lamb days- Enclosures F2, F2a and F2b</t>
  </si>
  <si>
    <t>Income from livestock fattening- Enclosures F4 and F4a</t>
  </si>
  <si>
    <t>Income from grass seed harvesting-Enclosures F4 and F4a</t>
  </si>
  <si>
    <t>Income from calf days- Enclosures F4 and F4a</t>
  </si>
  <si>
    <t>Income from livestock fattening- Enclosures F13</t>
  </si>
  <si>
    <t>Income from grass seed harvesting-Enclosures F13</t>
  </si>
  <si>
    <t>Income from dry season grazing - Enclosures F13</t>
  </si>
  <si>
    <t>Income from goat days- Enclosures F13</t>
  </si>
  <si>
    <t>Mureithi, S. M., Verdoodt, A., Njoka, J. T., Gachene, C. K. K., &amp; Van Ranst, E.</t>
  </si>
  <si>
    <t>Benefits Derived from Rehabilitating a Degraded Semi-Arid Rangeland in Communal Enclosures, Kenya.</t>
  </si>
  <si>
    <t xml:space="preserve">Mureithi, S. M., Verdoodt, A., Njoka, J. T., Gachene, C. K. K., &amp; Van Ranst, E. (2016). Benefits Derived from Rehabilitating a Degraded Semi-Arid Rangeland in Communal Enclosures, Kenya. Land Degradation and Development, 27(8), 1853–1862. Scopus. </t>
  </si>
  <si>
    <t>https://doi.org/10.1002/ldr.2341</t>
  </si>
  <si>
    <t>Western Kenya</t>
  </si>
  <si>
    <t>Market price of firewood</t>
  </si>
  <si>
    <t>KShs/Kg</t>
  </si>
  <si>
    <t>Market price of charcoal</t>
  </si>
  <si>
    <t>Murphy, D. M. A., Berazneva, J., &amp; Lee, D. R.</t>
  </si>
  <si>
    <t xml:space="preserve">Fuelwood source substitution, gender, and shadow prices in western Kenya. </t>
  </si>
  <si>
    <t xml:space="preserve">Murphy, D. M. A., Berazneva, J., &amp; Lee, D. R. (2018). Fuelwood source substitution, gender, and shadow prices in western Kenya. Environment and Development Economics, 23(6), 655–678. Scopus. </t>
  </si>
  <si>
    <t>https://doi.org/10.1017/S1355770X1800027X</t>
  </si>
  <si>
    <t>Mwingi</t>
  </si>
  <si>
    <t>Median total honey income</t>
  </si>
  <si>
    <t>Musinguzi, P., Bosselmann, A. S., &amp; Pouliot, M.</t>
  </si>
  <si>
    <t>Livelihoods-conservation initiatives: Evidence of socio-economic impacts from organic honey production in Mwingi, Eastern Kenya.</t>
  </si>
  <si>
    <t xml:space="preserve">Musinguzi, P., Bosselmann, A. S., &amp; Pouliot, M. (2018). Livelihoods-conservation initiatives: Evidence of socio-economic impacts from organic honey production in Mwingi, Eastern Kenya. Forest Policy and Economics, 97, 132–145. Scopus. </t>
  </si>
  <si>
    <t>https://doi.org/10.1016/j.forpol.2018.09.010</t>
  </si>
  <si>
    <t>Gatanga</t>
  </si>
  <si>
    <t>Fertilizers</t>
  </si>
  <si>
    <t xml:space="preserve">Mwaura, G. G., Kiboi, M. N., Mugwe, J. N., Nicolay, G., Bett, E. K., Muriuki, A., Musafiri, C. M., &amp; Ngetich, F. K. </t>
  </si>
  <si>
    <t xml:space="preserve">Economic evaluation and socioeconomic drivers influencing farmers’ perceptions on benefits of using organic inputs technologies in Upper Eastern Kenya. </t>
  </si>
  <si>
    <t xml:space="preserve">Mwaura, G. G., Kiboi, M. N., Mugwe, J. N., Nicolay, G., Bett, E. K., Muriuki, A., Musafiri, C. M., &amp; Ngetich, F. K. (2021). Economic evaluation and socioeconomic drivers influencing farmers’ perceptions on benefits of using organic inputs technologies in Upper Eastern Kenya. Environmental Challenges, 5, 100282. </t>
  </si>
  <si>
    <t>https://doi.org/10.1016/j.envc.2021.100282</t>
  </si>
  <si>
    <t>Average annual value of medicine</t>
  </si>
  <si>
    <t>Average annual value of building materials</t>
  </si>
  <si>
    <t>Average annual value of firewood</t>
  </si>
  <si>
    <t>Average annual value of honey</t>
  </si>
  <si>
    <t>Average annual value of grazing</t>
  </si>
  <si>
    <t>Average annual value of food</t>
  </si>
  <si>
    <t>Average annual value of khat</t>
  </si>
  <si>
    <t>Average annual value of hunting</t>
  </si>
  <si>
    <t>Average annual value of charcoal</t>
  </si>
  <si>
    <t>Average annual value of timber</t>
  </si>
  <si>
    <t>Soko Mjinga, Kiang’ombe Hill forest</t>
  </si>
  <si>
    <t>Kirie, Kiang’ombe Hill forest</t>
  </si>
  <si>
    <t>0° 34ʹ South</t>
  </si>
  <si>
    <t>37° 42ʹ 52ʺ East</t>
  </si>
  <si>
    <t>Ngugi, G., Newton, L. E., &amp; Muasya, M.</t>
  </si>
  <si>
    <t xml:space="preserve">The contribution of forest products to dryland household economy: The case of Kiang’ombe hill forest, Kenya. </t>
  </si>
  <si>
    <t>https://doi.org/10.17348/era.9.0.163-180</t>
  </si>
  <si>
    <t xml:space="preserve">Ngugi, G., Newton, L. E., &amp; Muasya, M. (2011). The contribution of forest products to dryland household economy: The case of Kiang’ombe hill forest, Kenya. Ethnobotany Research and Applications, 9, 163–180. Scopus. </t>
  </si>
  <si>
    <t>5°N and 5°S</t>
  </si>
  <si>
    <t>34°E and 42°E</t>
  </si>
  <si>
    <t xml:space="preserve">Value of carbon stock change </t>
  </si>
  <si>
    <t>Value of carbon stock change BAU</t>
  </si>
  <si>
    <t>Nyamari, N., &amp; Cabral, P.</t>
  </si>
  <si>
    <t xml:space="preserve"> Impact of land cover changes on carbon stock trends in Kenya for spatial implementation of REDD+ policy.</t>
  </si>
  <si>
    <t xml:space="preserve">Nyamari, N., &amp; Cabral, P. (2021). Impact of land cover changes on carbon stock trends in Kenya for spatial implementation of REDD+ policy. Applied Geography, 133. Scopus. </t>
  </si>
  <si>
    <t>https://doi.org/10.1016/j.apgeog.2021.102479</t>
  </si>
  <si>
    <t>Lake Naivasha watershed</t>
  </si>
  <si>
    <t>0° 08′ to 0° 46′ S</t>
  </si>
  <si>
    <t>36° 14′ to 36° 43′ E</t>
  </si>
  <si>
    <t>Willingness to accept to conserve 1 acre</t>
  </si>
  <si>
    <t>Willingness to accept to rehabilitate Riparian Zones</t>
  </si>
  <si>
    <t>Willingness to accept for grass strips</t>
  </si>
  <si>
    <t>Willingness to accept for terracing</t>
  </si>
  <si>
    <t>Willingness to accept contour cropping</t>
  </si>
  <si>
    <t>Willingness to accept for agro-forestry</t>
  </si>
  <si>
    <t>Willingness to accept for clean improved seed</t>
  </si>
  <si>
    <t>Willingness to accept for fallowing</t>
  </si>
  <si>
    <t>Willingness to accept  for crop rotation</t>
  </si>
  <si>
    <t>Willingness to accept for reduction in agrochemical use</t>
  </si>
  <si>
    <t>Estimating farmers’ stated willingness to accept pay for ecosystem services: Case of Lake Naivasha watershed Payment for Ecosystem Services scheme-Kenya.</t>
  </si>
  <si>
    <t xml:space="preserve">Nyongesa, J. M., Bett, H. K., Lagat, J. K., &amp; Ayuya, O. I. (2016). Estimating farmers’ stated willingness to accept pay for ecosystem services: Case of Lake Naivasha watershed Payment for Ecosystem Services scheme-Kenya. Ecological Processes, 5(1). Scopus. </t>
  </si>
  <si>
    <t>https://doi.org/10.1186/s13717-016-0059-z</t>
  </si>
  <si>
    <t xml:space="preserve">Nyongesa, J. M., Bett, H. K., Lagat, J. K., &amp; Ayuya, O. I. </t>
  </si>
  <si>
    <t>Kiambu County</t>
  </si>
  <si>
    <t>Nyeri County</t>
  </si>
  <si>
    <t>Income sale of carbon credits- Cupressus lusitanica</t>
  </si>
  <si>
    <t>Income from clear felling at an economic rotation age of 30 years- Cupressus lusitanica</t>
  </si>
  <si>
    <t>Income sale of carbon credits- Pinus patula</t>
  </si>
  <si>
    <t>Income from clear felling at an economic rotation age of 30 years- Pinus patula</t>
  </si>
  <si>
    <t>Income sale of carbon credits-  Cupressus lusitanica</t>
  </si>
  <si>
    <t>Income sale of carbon credits- Eucalyptus saligna</t>
  </si>
  <si>
    <t>Income from clear felling at an economic rotation age of 30 years- Eucalyptus saligna</t>
  </si>
  <si>
    <t>Income sale of carbon credits- Juniperus procera</t>
  </si>
  <si>
    <t>Income from clear felling at an economic rotation age of 30 years- Juniperus procera</t>
  </si>
  <si>
    <t>Oeba, V., Mahamane, L., Otor, S. C. J., Kung’u, J. B., &amp; Mbae, M. N.</t>
  </si>
  <si>
    <t>Growing common plantation tree species in Kenya for sale of carbon and wood supply: What is the best bet?</t>
  </si>
  <si>
    <t>Oeba, V., Mahamane, L., Otor, S. C. J., Kung’u, J. B., &amp; Mbae, M. N. (2017). Growing common plantation tree species in Kenya for sale of carbon and wood supply: What is the best bet? Southern Forests, 79(2), 117–124. Scopus.</t>
  </si>
  <si>
    <t>https://doi.org/10.2989/20702620.2016.1274860</t>
  </si>
  <si>
    <t>WTP for solar</t>
  </si>
  <si>
    <t xml:space="preserve">WTP for wind </t>
  </si>
  <si>
    <t>WTP for biomass</t>
  </si>
  <si>
    <t>Total WTP for solar</t>
  </si>
  <si>
    <t>Total WTP for wind</t>
  </si>
  <si>
    <t>Total WTP for biomass</t>
  </si>
  <si>
    <t>Oluoch, S., Lal, P., Susaeta, A., &amp; Wolde, B.</t>
  </si>
  <si>
    <t xml:space="preserve"> Public preferences for renewable energy options: A choice experiment in Kenya.</t>
  </si>
  <si>
    <t xml:space="preserve">Oluoch, S., Lal, P., Susaeta, A., &amp; Wolde, B. (2021). Public preferences for renewable energy options: A choice experiment in Kenya. Energy Economics, 98. Scopus. </t>
  </si>
  <si>
    <t>https://doi.org/10.1016/j.eneco.2021.105256</t>
  </si>
  <si>
    <t>Vihiga District</t>
  </si>
  <si>
    <t>Revenue from milk- grazing only</t>
  </si>
  <si>
    <t>Revenue from heifers- grazing only</t>
  </si>
  <si>
    <t>Revenue from female calves- grazing only</t>
  </si>
  <si>
    <t xml:space="preserve">Revenue from young bulls- grazing only </t>
  </si>
  <si>
    <t xml:space="preserve">Revenue from culls- grazing only </t>
  </si>
  <si>
    <t xml:space="preserve">Revenue from manure- grazing only </t>
  </si>
  <si>
    <t xml:space="preserve">Revenue from milk- mainly grazing and some stall feeding </t>
  </si>
  <si>
    <t>Revenue from heifers- mainly grazing and some stall feedin g</t>
  </si>
  <si>
    <t xml:space="preserve">Revenue from female calves- mainly grazing and some stall feeding </t>
  </si>
  <si>
    <t xml:space="preserve">Revenue from young bulls- mainly grazing and some stall feeding </t>
  </si>
  <si>
    <t xml:space="preserve">Revenue from culls- mainly grazing and some stall feeding </t>
  </si>
  <si>
    <t xml:space="preserve">Revenue from manure- mainly grazing and some stall feeding </t>
  </si>
  <si>
    <t>Revenue from milk- mainly stall feeding and some grazing</t>
  </si>
  <si>
    <t xml:space="preserve">Revenue from milk- Stall feeding only </t>
  </si>
  <si>
    <t xml:space="preserve">Revenue from heifers- Stall feeding only </t>
  </si>
  <si>
    <t xml:space="preserve">Revenue from female calves- Stall feeding only </t>
  </si>
  <si>
    <t xml:space="preserve">Revenue from young bulls- Stall feeding only </t>
  </si>
  <si>
    <t xml:space="preserve">Revenue from culls- Stall feeding only </t>
  </si>
  <si>
    <t xml:space="preserve">Revenue from manure- Stall feeding only </t>
  </si>
  <si>
    <t xml:space="preserve">Total revenue from cattle- grazing only </t>
  </si>
  <si>
    <t>KShs/cow/year</t>
  </si>
  <si>
    <t xml:space="preserve">Total revenue from cattle production systems- mainly grazing and some stall feeding </t>
  </si>
  <si>
    <t xml:space="preserve">Total revenue from cattle production systems- Mainly stall feeding and some grazing </t>
  </si>
  <si>
    <t xml:space="preserve">Total revenue from cattle production systems- Stall feeding only </t>
  </si>
  <si>
    <t>Horticultural crops- grazing only</t>
  </si>
  <si>
    <t>Tea income- grazing only</t>
  </si>
  <si>
    <t>Maize- grazing only</t>
  </si>
  <si>
    <t>Beans- grazing only</t>
  </si>
  <si>
    <t>Vegetables- grazing only</t>
  </si>
  <si>
    <t>Total crop output value under grazing only dairy cattle production system</t>
  </si>
  <si>
    <t>Total crop output value under mainly grazing and some stall feeding dairy cattle production system</t>
  </si>
  <si>
    <t>Total crop output value under mainly stall feeding and some grazing dairy cattle production system</t>
  </si>
  <si>
    <t>Total crop output value under stall feeding onlly dairy cattle production system</t>
  </si>
  <si>
    <t>Tea income- mainly grazing and some stall feeding</t>
  </si>
  <si>
    <t>Horticultural crops- mainly grazing and some stall feeding</t>
  </si>
  <si>
    <t>Beans- mainly grazing and some stall feeding</t>
  </si>
  <si>
    <t>Vegetables-mainly grazing and some stall feeding</t>
  </si>
  <si>
    <t>Maize- mainly grazing and some stall feeding</t>
  </si>
  <si>
    <t>Tea income- mainly stall feeding and some grazing</t>
  </si>
  <si>
    <t>Horticultural crops- mainly stall feeding and some grazing</t>
  </si>
  <si>
    <t>Maize- mainly stall feeding and some grazing</t>
  </si>
  <si>
    <t>Beans- mainly stall feeding and some grazing</t>
  </si>
  <si>
    <t>Vegetables- mainly stall feeding and some grazing</t>
  </si>
  <si>
    <t>Tea income- stall feeding only</t>
  </si>
  <si>
    <t>Horticultural crops- stall feeding only</t>
  </si>
  <si>
    <t>Maize- stall feeding only</t>
  </si>
  <si>
    <t>Beans- stall feeding only</t>
  </si>
  <si>
    <t>Vegetables- stall feeding only</t>
  </si>
  <si>
    <t>Ongadi, P. M., Wahome, R. G., Wakhungu, J. W., Okitoi, L. O., &amp; Otieno, K.</t>
  </si>
  <si>
    <t>Bio-economic analysis of expenditure on inputs and output value from crops and grade dairy cattle sub systems in Vihiga, Kenya.</t>
  </si>
  <si>
    <t>Ongadi, P. M., Wahome, R. G., Wakhungu, J. W., Okitoi, L. O., &amp; Otieno, K. (2006). Bio-economic analysis of expenditure on inputs and output value from crops and grade dairy cattle sub systems in Vihiga, Kenya. Livestock Research for Rural Development, 18(12). Scopus.</t>
  </si>
  <si>
    <t>Olare Orok Conservancy</t>
  </si>
  <si>
    <t>PES for livestock grazing plan</t>
  </si>
  <si>
    <t>Osano, P. M., Said, M. Y., de Leeuw, J., Ndiwa, N., Kaelo, D., Schomers, S., Birner, R., &amp; Ogutu, J. O.</t>
  </si>
  <si>
    <t>Why keep lions instead of livestock? Assessing wildlife tourism-based payment for ecosystem services involving herders in the Maasai Mara, Kenya.</t>
  </si>
  <si>
    <t>Osano, P. M., Said, M. Y., de Leeuw, J., Ndiwa, N., Kaelo, D., Schomers, S., Birner, R., &amp; Ogutu, J. O. (2013). Why keep lions instead of livestock? Assessing wildlife tourism-based payment for ecosystem services involving herders in the Maasai Mara, Kenya. Natural Resources Forum, 37(4), 242–256.</t>
  </si>
  <si>
    <t>https://doi.org/10.1111/1477-8947.12027</t>
  </si>
  <si>
    <t>Maasai Mara Nature Reserve</t>
  </si>
  <si>
    <t xml:space="preserve">Average willingness to pay for upstream restoration and conservation </t>
  </si>
  <si>
    <t>Pedroso, R., &amp; Biu Kung’u, J.</t>
  </si>
  <si>
    <t>Tourists’ willingness to pay for upstream restoration and conservation measures.</t>
  </si>
  <si>
    <t xml:space="preserve">Pedroso, R., &amp; Biu Kung’u, J. (2019). Tourists’ willingness to pay for upstream restoration and conservation measures. Journal of Sustainable Tourism, 27(8), 1107–1124. Scopus. </t>
  </si>
  <si>
    <t>https://doi.org/10.1080/09669582.2019.1593991</t>
  </si>
  <si>
    <t>Kitengela</t>
  </si>
  <si>
    <t>Wildlife-related damage to farmers</t>
  </si>
  <si>
    <t>WTP for Nairobi residents for a land managent program in the Kitengala</t>
  </si>
  <si>
    <t>Annual collected over for 5 years with a discount rate of 12%</t>
  </si>
  <si>
    <t>KShs/household /yr</t>
  </si>
  <si>
    <t xml:space="preserve">Rodriguez, L. C., Henson, D., Herrero, M., Nkedianye, D., &amp; Reid, R. </t>
  </si>
  <si>
    <t xml:space="preserve"> Private farmers’ compensation and viability of protected areas: The case of Nairobi National Park and Kitengela dispersal corridor.</t>
  </si>
  <si>
    <t xml:space="preserve">Rodriguez, L. C., Henson, D., Herrero, M., Nkedianye, D., &amp; Reid, R. (2012). Private farmers’ compensation and viability of protected areas: The case of Nairobi National Park and Kitengela dispersal corridor. International Journal of Sustainable Development and World Ecology, 19(1), 34–43. Scopus. </t>
  </si>
  <si>
    <t>https://doi.org/10.1080/13504509.2011.587549</t>
  </si>
  <si>
    <t>https://doi.org/10.1080/13504509.2011.587551</t>
  </si>
  <si>
    <t>Cherangany Hills Water Tower</t>
  </si>
  <si>
    <t>0°.50 ′ to 1°.50 ′ N</t>
  </si>
  <si>
    <t>35°.00 ′ to 35°.83 ′ E</t>
  </si>
  <si>
    <t>Value of water supply</t>
  </si>
  <si>
    <t>Value of food production</t>
  </si>
  <si>
    <t>Value of raw materials</t>
  </si>
  <si>
    <t>Value of genetic materials</t>
  </si>
  <si>
    <t xml:space="preserve">Value of water regulation </t>
  </si>
  <si>
    <t>Value of water treatment</t>
  </si>
  <si>
    <t>Value of erosion control</t>
  </si>
  <si>
    <t xml:space="preserve">Value of climate regulation </t>
  </si>
  <si>
    <t>Value of biological control</t>
  </si>
  <si>
    <t xml:space="preserve">Value of gas regulation </t>
  </si>
  <si>
    <t xml:space="preserve">Value of disturbance regulation </t>
  </si>
  <si>
    <t>Value of nutrient cycling</t>
  </si>
  <si>
    <t xml:space="preserve">Value of pollination </t>
  </si>
  <si>
    <t xml:space="preserve">Value of soil formation </t>
  </si>
  <si>
    <t>Value of habitat</t>
  </si>
  <si>
    <t>Cultural value</t>
  </si>
  <si>
    <t xml:space="preserve">Recreational value </t>
  </si>
  <si>
    <t>Water supply</t>
  </si>
  <si>
    <t>Water other</t>
  </si>
  <si>
    <t xml:space="preserve">Rotich, B., Kindu, M., Kipkulei, H., Kibet, S., &amp; Ojwang, D. </t>
  </si>
  <si>
    <t xml:space="preserve"> Impact of land use/land cover changes on ecosystem service values in the cherangany hills water tower, Kenya.</t>
  </si>
  <si>
    <t xml:space="preserve">Rotich, B., Kindu, M., Kipkulei, H., Kibet, S., &amp; Ojwang, D. (2022). Impact of land use/land cover changes on ecosystem service values in the cherangany hills water tower, Kenya. Environmental Challenges, 8, 100576. </t>
  </si>
  <si>
    <t>https://doi.org/10.1016/j.envc.2022.100576</t>
  </si>
  <si>
    <t>Ewaso Ng'iro</t>
  </si>
  <si>
    <t>Value of ecosystem services- Livestock asset- Sub-catchment 4</t>
  </si>
  <si>
    <t>Value of ecosystem services- Livestock products- Sub-catchment 4</t>
  </si>
  <si>
    <t>Value of ecosystem services- Crop- Sub-catchment 4</t>
  </si>
  <si>
    <t>Value of ecosystem services- Tourism- Sub-catchment 4</t>
  </si>
  <si>
    <t>Value of ecosystem services- Livestock asset- Sub-catchment 5</t>
  </si>
  <si>
    <t>Value of ecosystem services- Livestock products- Sub-catchment 5</t>
  </si>
  <si>
    <t>Value of ecosystem services- Crop- Sub-catchment 5</t>
  </si>
  <si>
    <t>Value of ecosystem services- Tourism- Sub-catchment 5</t>
  </si>
  <si>
    <t>Value of ecosystem services- Livestock asset- Sub-catchment 7</t>
  </si>
  <si>
    <t>Value of ecosystem services- Livestock products- Sub-catchment 7</t>
  </si>
  <si>
    <t>Value of ecosystem services- Crop- Sub-catchment 7</t>
  </si>
  <si>
    <t>Value of ecosystem services- Tourism- Sub-catchment 7</t>
  </si>
  <si>
    <t>Value of ecosystem services- Livestock asset- Sub-catchment 8</t>
  </si>
  <si>
    <t>Value of ecosystem services- Livestock products- Sub-catchment 8</t>
  </si>
  <si>
    <t>Value of ecosystem services- Crop- Sub-catchment 8</t>
  </si>
  <si>
    <t>Value of ecosystem services- Tourism- Sub-catchment 8</t>
  </si>
  <si>
    <t>Value of ecosystem services- Livestock asset- Sub-catchment 2</t>
  </si>
  <si>
    <t>Value of ecosystem services- Livestock products- Sub-catchment 2</t>
  </si>
  <si>
    <t>Value of ecosystem services- Crop- Sub-catchment 2</t>
  </si>
  <si>
    <t>Value of ecosystem services- Tourism- Sub-catchment 2</t>
  </si>
  <si>
    <t>Value of ecosystem services- Livestock asset- Sub-catchment 1</t>
  </si>
  <si>
    <t>Value of ecosystem services- Livestock products- Sub-catchment 1</t>
  </si>
  <si>
    <t>Value of ecosystem services- Crop- Sub-catchment 1</t>
  </si>
  <si>
    <t>Value of ecosystem services- Tourism- Sub-catchment 1</t>
  </si>
  <si>
    <t>Value of ecosystem services- Livestock asset- Sub-catchment 3</t>
  </si>
  <si>
    <t>Value of ecosystem services- Livestock products- Sub-catchment 3</t>
  </si>
  <si>
    <t>Value of ecosystem services- Crop- Sub-catchment 3</t>
  </si>
  <si>
    <t>Value of ecosystem services- Tourism- Sub-catchment 3</t>
  </si>
  <si>
    <t>Value of ecosystem services- Livestock asset- Sub-catchment 6</t>
  </si>
  <si>
    <t>Value of ecosystem services- Livestock products- Sub-catchment 6</t>
  </si>
  <si>
    <t>Value of ecosystem services- Crop- Sub-catchment 6</t>
  </si>
  <si>
    <t>Silvestri, S., Zaibet, L., Said, M. Y., &amp; Kifugo, S. C.</t>
  </si>
  <si>
    <t>Valuing ecosystem services for conservation and development purposes: A case study from Kenya.</t>
  </si>
  <si>
    <t xml:space="preserve">Silvestri, S., Zaibet, L., Said, M. Y., &amp; Kifugo, S. C. (2013). Valuing ecosystem services for conservation and development purposes: A case study from Kenya. Environmental Science and Policy, 31, 23–33. Scopus. </t>
  </si>
  <si>
    <t>https://doi.org/10.1016/j.envsci.2013.03.008</t>
  </si>
  <si>
    <t>Value of buffalos</t>
  </si>
  <si>
    <t>Value of zebras</t>
  </si>
  <si>
    <t>Value of impalas</t>
  </si>
  <si>
    <t>Mean value of wild herbivores</t>
  </si>
  <si>
    <t>Value of giraffes</t>
  </si>
  <si>
    <t>Value of elands</t>
  </si>
  <si>
    <t>Lewa Wildlife Conservancy</t>
  </si>
  <si>
    <t>Ol Pejeta Ranch</t>
  </si>
  <si>
    <t>Simiyu, T. W., Olukoye, G. A., Wakhungu, J. W., &amp; Wamicha, W. N.</t>
  </si>
  <si>
    <t>Productivity indexing of wild herbivores on Lewa Wildlife Conservancy and Ol Pejeta Ranch in northern Kenya.</t>
  </si>
  <si>
    <t>Simiyu, T. W., Olukoye, G. A., Wakhungu, J. W., &amp; Wamicha, W. N. (2007). Productivity indexing of wild herbivores on Lewa Wildlife Conservancy and Ol Pejeta Ranch in northern Kenya. African Journal of Ecology, 45(3), 416–422. Scopus.</t>
  </si>
  <si>
    <t>https://doi.org/10.1111/j.1365-2028.2006.00749.x</t>
  </si>
  <si>
    <t>Value of agricultural production in mid-to-upper altitude areas</t>
  </si>
  <si>
    <t>Value of agricultural production in the lowest parts of the Nyando basin</t>
  </si>
  <si>
    <t>Swallow, B. M., Sang, J. K., Nyabenge, M., Bundotich, D. K., Duraiappah, A. K., &amp; Yatich, T. B.</t>
  </si>
  <si>
    <t>Tradeoffs, synergies and traps among ecosystem services in the Lake Victoria basin of East Africa.</t>
  </si>
  <si>
    <t>Swallow, B. M., Sang, J. K., Nyabenge, M., Bundotich, D. K., Duraiappah, A. K., &amp; Yatich, T. B. (2009). Tradeoffs, synergies and traps among ecosystem services in the Lake Victoria basin of East Africa. Environmental Science and Policy, 12(4), 504–519. Scopus</t>
  </si>
  <si>
    <t>https://doi.org/10.1016/j.envsci.2008.11.003</t>
  </si>
  <si>
    <t xml:space="preserve">Opportunity cost of farmers setting aside land for conservation </t>
  </si>
  <si>
    <t>Cost of establishing grass filter strips</t>
  </si>
  <si>
    <t>USD/km</t>
  </si>
  <si>
    <t>Sasumua watershed</t>
  </si>
  <si>
    <t>Van de Sand, I., Mwangi, J. K., &amp; Namirembe, S.</t>
  </si>
  <si>
    <t>Can payments for ecosystem services contribute to adaptation to climate change? Insights from a watershed in Kenya.</t>
  </si>
  <si>
    <t xml:space="preserve">Van de Sand, I., Mwangi, J. K., &amp; Namirembe, S. (2014). Can payments for ecosystem services contribute to adaptation to climate change? Insights from a watershed in Kenya. Ecology and Society, 19(1). Scopus. </t>
  </si>
  <si>
    <t>https://doi.org/10.5751/ES-06199-190147</t>
  </si>
  <si>
    <t>Value of one acre of jojoba- Agricultural policy with a low price</t>
  </si>
  <si>
    <t>Value of one acre of jojoba- Agricultural policy with a higher price</t>
  </si>
  <si>
    <t xml:space="preserve">Kasigau Corridor </t>
  </si>
  <si>
    <t>Value of eco-charcoal raw material</t>
  </si>
  <si>
    <t>Veronesi, M., Reutemann, T., Zabel, A., &amp; Engel, S.</t>
  </si>
  <si>
    <t>Designing REDD+ schemes when forest users are not forest landowners: Evidence from a survey-based experiment in Kenya.</t>
  </si>
  <si>
    <t>Veronesi, M., Reutemann, T., Zabel, A., &amp; Engel, S. (2015). Designing REDD+ schemes when forest users are not forest landowners: Evidence from a survey-based experiment in Kenya. Ecological Economics, 116, 46–57. Scopus.</t>
  </si>
  <si>
    <t>https://doi.org/10.1016/j.ecolecon.2015.04.009</t>
  </si>
  <si>
    <t>Northern Kenya</t>
  </si>
  <si>
    <t>Revenue from selling gum arabic</t>
  </si>
  <si>
    <t xml:space="preserve">Vellema, W., Mujawamariya, G., D’Haese, M., &amp; Burger, K. </t>
  </si>
  <si>
    <t>An economic approach to household collection of gum Arabic from the wild.</t>
  </si>
  <si>
    <t xml:space="preserve">Vellema, W., Mujawamariya, G., D’Haese, M., &amp; Burger, K. (2013). An economic approach to household collection of gum Arabic from the wild. International Forestry Review, 15(2), 255–269. Scopus. </t>
  </si>
  <si>
    <t>https://doi.org/10.1505/146554813806948549</t>
  </si>
  <si>
    <t>Avoided flocculant costs</t>
  </si>
  <si>
    <t>Avoided electricity costs</t>
  </si>
  <si>
    <t>Net revenue from saved process water</t>
  </si>
  <si>
    <t>Benefits of the water fund to the municipal water supply, applied to demand met in the future</t>
  </si>
  <si>
    <t>Total benefits to the municipal water supply</t>
  </si>
  <si>
    <t>Benefits to farmers</t>
  </si>
  <si>
    <t>Benefits from avoided electricity interruptions</t>
  </si>
  <si>
    <t>Increased generation from increased water yield</t>
  </si>
  <si>
    <t>Total benefits to the hydropower company</t>
  </si>
  <si>
    <t>Total benefits from investments in sustainable land management</t>
  </si>
  <si>
    <t>Vogl, A. L., Bryant, B. P., Hunink, J. E., Wolny, S., Apse, C., &amp; Droogers, P.</t>
  </si>
  <si>
    <t xml:space="preserve"> Valuing investments in sustainable land management in the Upper Tana River basin, Kenya. </t>
  </si>
  <si>
    <t>Vogl, A. L., Bryant, B. P., Hunink, J. E., Wolny, S., Apse, C., &amp; Droogers, P. (2017). Valuing investments in sustainable land management in the Upper Tana River basin, Kenya. Journal of Environmental Management, 195, 78–91. Scopus.</t>
  </si>
  <si>
    <t>https://doi.org/10.1016/j.jenvman.2016.10.013</t>
  </si>
  <si>
    <t xml:space="preserve">Gross profit for Conventional Rice </t>
  </si>
  <si>
    <t>Net profit for Conventional Rice</t>
  </si>
  <si>
    <t>Mwea Region</t>
  </si>
  <si>
    <t xml:space="preserve">Watanabe, M., Sumita, Y., Azechi, I., Ito, K., &amp; Noda, K. </t>
  </si>
  <si>
    <t>Production costs and benefits of japonica rice in Mwea, Kenya.</t>
  </si>
  <si>
    <t xml:space="preserve">Watanabe, M., Sumita, Y., Azechi, I., Ito, K., &amp; Noda, K. (2021). Production costs and benefits of japonica rice in Mwea, Kenya. Agriculture (Switzerland), 11(7). Scopus. </t>
  </si>
  <si>
    <t>https://doi.org/10.3390/agriculture11070629</t>
  </si>
  <si>
    <t>Absolute value bulls- Exotic</t>
  </si>
  <si>
    <t>Absolute value of bulls- Status quo</t>
  </si>
  <si>
    <t>Absolute value of bulls- Orma Borana</t>
  </si>
  <si>
    <t>Absolute value of bulls- Ethiopian Borana</t>
  </si>
  <si>
    <t>Absolute value of bulls- Somali Borana</t>
  </si>
  <si>
    <t>Absolute value of bulls- Kenyan Borana</t>
  </si>
  <si>
    <t>Absolute value of bulls- Crosses</t>
  </si>
  <si>
    <t>Absolute value of bulls- Small East African Zebu</t>
  </si>
  <si>
    <t>Absolute value of cows- Orma Borana</t>
  </si>
  <si>
    <t>Absolute value of cows- Ethiopian Borana</t>
  </si>
  <si>
    <t>Absolute value of cows- Somali Borana</t>
  </si>
  <si>
    <t>Absolute value of cows- Kenyan Borana</t>
  </si>
  <si>
    <t>Absolute value of cows- Crosses</t>
  </si>
  <si>
    <t>Absolute value of cows- Small East African Zebu</t>
  </si>
  <si>
    <t>Absolute value cows- Exotic</t>
  </si>
  <si>
    <t>Absolute value of cows- Status quo</t>
  </si>
  <si>
    <t>Weighted average of bulls and cows- Orma Borana</t>
  </si>
  <si>
    <t>Weighted average of bulls and cows- Ethiopian Borana</t>
  </si>
  <si>
    <t>Weighted average of bulls and cows- Somali Borana</t>
  </si>
  <si>
    <t>Weighted average of bulls and cows- Kenyan Borana</t>
  </si>
  <si>
    <t>Weighted average of bulls and cows- Crosses</t>
  </si>
  <si>
    <t>Weighted average of bulls and cows- Small East African Zebu</t>
  </si>
  <si>
    <t>Weighted average of bulls and cows- Exotic</t>
  </si>
  <si>
    <t>Weighted average of bulls and cows- Status quo</t>
  </si>
  <si>
    <t>Eur</t>
  </si>
  <si>
    <t>Marsabit District</t>
  </si>
  <si>
    <t>Zander, K. K., &amp; Drucker, A. G.</t>
  </si>
  <si>
    <t>Conserving what’s important: Using choice model scenarios to value local cattle breeds in East Africa.</t>
  </si>
  <si>
    <t xml:space="preserve">Zander, K. K., &amp; Drucker, A. G. (2008). Conserving what’s important: Using choice model scenarios to value local cattle breeds in East Africa. Ecological Economics, 68(1–2), 34–45. Scopus. </t>
  </si>
  <si>
    <t>https://doi.org/10.1016/j.ecolecon.2008.01.023</t>
  </si>
  <si>
    <t>Ba Be National Park</t>
  </si>
  <si>
    <t>Compensation for moderately risk averse farmers to increase the share of forest to 100%</t>
  </si>
  <si>
    <t>Compensation for moderately risk averse farmers to increase the share of forest to 89%</t>
  </si>
  <si>
    <t>Compensation for moderately risk averse farmers to increase the share of forest to 80%</t>
  </si>
  <si>
    <t>Compensation for moderately risk averse farmers to increase the share of forest to 69%</t>
  </si>
  <si>
    <t>Compensation for moderately risk averse farmers to increase the share of forest to 59%</t>
  </si>
  <si>
    <t>Compensation for moderately risk averse farmers to increase the share of forest to 49%</t>
  </si>
  <si>
    <t>Compensation for moderately risk averse farmers to increase the share of forest to 39%</t>
  </si>
  <si>
    <t>Compensation for moderately risk averse farmers to increase the share of forest to 29%</t>
  </si>
  <si>
    <t>Compensation for moderately risk averse farmers to increase the share of forest to 18%</t>
  </si>
  <si>
    <t>Compensation for moderately risk averse farmers to increase the share of forest to 8%</t>
  </si>
  <si>
    <t>Compensation for strongly risk averse farmers to increase the share of forest to 100%</t>
  </si>
  <si>
    <t>Compensation for strongly risk averse farmers to increase the share of forest to 89%</t>
  </si>
  <si>
    <t>Compensation for strongly risk averse farmers to increase the share of forest to 80%</t>
  </si>
  <si>
    <t>Compensation for strongly risk averse farmers to increase the share of forest to 69%</t>
  </si>
  <si>
    <t>Compensation for strongly risk averse farmers to increase the share of forest to 59%</t>
  </si>
  <si>
    <t>Compensation for strongly risk averse farmers to increase the share of forest to 49%</t>
  </si>
  <si>
    <t>Compensation for strongly risk averse farmers to increase the share of forest to 39%</t>
  </si>
  <si>
    <t>Compensation for strongy risk averse farmers to increase the share of forest to 29%</t>
  </si>
  <si>
    <t>Adhikari, R. K., Kindu, M., Pokharel, R., Castro, L. M., &amp; Knoke, T. (2017). Financial compensation for biodiversity conservation in Ba Be National Park of Northern Vietnam. Journal for Nature Conservation, 35, 92–100. Scopus. https://doi.org/10.1016/j.jnc.2016.12.003</t>
  </si>
  <si>
    <t xml:space="preserve">Financial compensation for biodiversity conservation in Ba Be National Park of Northern Vietnam. </t>
  </si>
  <si>
    <t xml:space="preserve">Adhikari, R. K., Kindu, M., Pokharel, R., Castro, L. M., &amp; Knoke, T. (2017). Financial compensation for biodiversity conservation in Ba Be National Park of Northern Vietnam. Journal for Nature Conservation, 35, 92–100. Scopus. </t>
  </si>
  <si>
    <t>https://doi.org/10.1016/j.jnc.2016.12.003</t>
  </si>
  <si>
    <t>Current compensation to motivate locals to conserve natural forests</t>
  </si>
  <si>
    <t>Quang Tri Province</t>
  </si>
  <si>
    <t>Price for non-Forest Stewardship Council Acacia timber- Log diameter of 0-13cm</t>
  </si>
  <si>
    <t>Price for non-Forest Stewardship Council Acacia timber- Log diameter of 13-18cm</t>
  </si>
  <si>
    <t>Price for non-Forest Stewardship Council Acacia timber- Log diameter of 19+cm</t>
  </si>
  <si>
    <t>Vietnamese dong</t>
  </si>
  <si>
    <t>Price for Forest Stewardship Council Acacia timber- Log diameter of 10-14cm</t>
  </si>
  <si>
    <t>Price for Forest Stewardship Council Acacia timber- Log diameter of 15-19.5cm</t>
  </si>
  <si>
    <t>Price for Forest Stewardship Council Acacia timber- Log diameter of 19.6+cm</t>
  </si>
  <si>
    <t>Auer, M. R.</t>
  </si>
  <si>
    <t>Group Forest Certification for Smallholders in Vietnam: An Early Test and Future Prospects.</t>
  </si>
  <si>
    <t xml:space="preserve">Auer, M. R. (2012). Group Forest Certification for Smallholders in Vietnam: An Early Test and Future Prospects. Human Ecology, 40(1), 5–14. Scopus. </t>
  </si>
  <si>
    <t>https://doi.org/10.1007/s10745-011-9451-6</t>
  </si>
  <si>
    <t>Kala Tonggu</t>
  </si>
  <si>
    <t>Hieu</t>
  </si>
  <si>
    <t>Bayrak, M. M., &amp; Marafa, L. M.</t>
  </si>
  <si>
    <t>Livelihood Implications and Perceptions of Large Scale Investment in Natural Resources for Conservation and Carbon Sequestration: Empirical Evidence from REDD+ in Vietnam.</t>
  </si>
  <si>
    <t xml:space="preserve">Bayrak, M. M., &amp; Marafa, L. M. (2017). Livelihood Implications and Perceptions of Large Scale Investment in Natural Resources for Conservation and Carbon Sequestration: Empirical Evidence from REDD+ in Vietnam. Sustainability (Switzerland), 9(10). Scopus. </t>
  </si>
  <si>
    <t>https://doi.org/10.3390/su9101802</t>
  </si>
  <si>
    <t>Village 6, Thong Nhat Commune</t>
  </si>
  <si>
    <t>Huong Hiep</t>
  </si>
  <si>
    <t>VND/metric tonne</t>
  </si>
  <si>
    <t>VND/cubic metre</t>
  </si>
  <si>
    <t>Selling price of honey</t>
  </si>
  <si>
    <t>Selling price of rattan</t>
  </si>
  <si>
    <t>Selling price of bamboo shoots</t>
  </si>
  <si>
    <t>Selling price of snail</t>
  </si>
  <si>
    <t>Selling price of wild pig</t>
  </si>
  <si>
    <t>Selling price of hat leaves</t>
  </si>
  <si>
    <t>Selling price of frog</t>
  </si>
  <si>
    <t>Selling price of fish</t>
  </si>
  <si>
    <t>Selling price of mushroom</t>
  </si>
  <si>
    <t>Selling price of animal</t>
  </si>
  <si>
    <t>Selling price of Malva nuts</t>
  </si>
  <si>
    <t>VND/650mL</t>
  </si>
  <si>
    <t>VND/kg</t>
  </si>
  <si>
    <t>VND/100 leaves</t>
  </si>
  <si>
    <t xml:space="preserve">Payment for forest protection </t>
  </si>
  <si>
    <t>Bayrak, M. M., Tu, T. N., &amp; Marafa, L. M.</t>
  </si>
  <si>
    <t xml:space="preserve">Creating social safeguards for REDD+: Lessons learned from benefit sharing mechanisms in Vietnam. </t>
  </si>
  <si>
    <t>Bayrak, M. M., Tu, T. N., &amp; Marafa, L. M. (2014). Creating social safeguards for REDD+: Lessons learned from benefit sharing mechanisms in Vietnam. Land, 3(3), 1037–1058. Scopus.</t>
  </si>
  <si>
    <t>https://doi.org/10.3390/land3031037</t>
  </si>
  <si>
    <t>Ha Tinh Province</t>
  </si>
  <si>
    <t>Tuyen Quang Province</t>
  </si>
  <si>
    <t>Northern Vietnam</t>
  </si>
  <si>
    <t>Revenue from L14 variety of groundnut</t>
  </si>
  <si>
    <t>Revenue from L23 variety of groundnut</t>
  </si>
  <si>
    <t>Revenue from local variety of groundnut</t>
  </si>
  <si>
    <t>VND/ha</t>
  </si>
  <si>
    <t>Net present value from adoption of L14 groundnut variety without area expansion- 5% discount rate from 2006-2020</t>
  </si>
  <si>
    <t>Net present value from adoption of L23 groundnut variety without area expansion- 5% discount rate from 2006-2020</t>
  </si>
  <si>
    <t>Net present value from adoption of L14 groundnut variety without area expansion- 8% discount rate from 2006-2020</t>
  </si>
  <si>
    <t>Net present value from adoption of L23 groundnut variety without area expansion- 8% discount rate from 2006-2020</t>
  </si>
  <si>
    <t>VND</t>
  </si>
  <si>
    <t>Net present value from adoption of L14 groundnut variety with 1.36% annual area expansion- 5% discount rate from 2006-2020</t>
  </si>
  <si>
    <t>Net present value from adoption of L23 groundnut variety with 1.36% annual  area expansion- 5% discount rate from 2006-2020</t>
  </si>
  <si>
    <t>Net present value from adoption of L14 groundnut variety with 1.36% annual area expansion- 8% discount rate from 2006-2020</t>
  </si>
  <si>
    <t>Net present value from adoption of L23 groundnut variety with 1.36% annual area expansion- 8% discount rate from 2006-2020</t>
  </si>
  <si>
    <t>Birtha, P. S., Minh, T. T., Chinh, N. T., Anh, D. T., Nigam, S. N., Vuong, P. T., Luong, N. T., &amp; Tham, D. H.</t>
  </si>
  <si>
    <t xml:space="preserve">Potential benefits from the adoption of new groundnut varieties in northern Vietnam: An ex ante assessment. </t>
  </si>
  <si>
    <t xml:space="preserve">Birtha, P. S., Minh, T. T., Chinh, N. T., Anh, D. T., Nigam, S. N., Vuong, P. T., Luong, N. T., &amp; Tham, D. H. (2011). Potential benefits from the adoption of new groundnut varieties in northern Vietnam: An ex ante assessment. Outlook on Agriculture, 40(4), 351–357. Scopus. </t>
  </si>
  <si>
    <t>https://doi.org/10.5367/oa.2011.0059</t>
  </si>
  <si>
    <t>Son La Province</t>
  </si>
  <si>
    <t>Price of porcupines for export to China</t>
  </si>
  <si>
    <t>Price per wild pair of porcupines</t>
  </si>
  <si>
    <t>USD/kg</t>
  </si>
  <si>
    <t>Brooks, E. G. E., Roberton, S. I., &amp; Bell, D. J.</t>
  </si>
  <si>
    <t>The conservation impact of commercial wildlife farming of porcupines in Vietnam.</t>
  </si>
  <si>
    <t xml:space="preserve">Brooks, E. G. E., Roberton, S. I., &amp; Bell, D. J. (2010). The conservation impact of commercial wildlife farming of porcupines in Vietnam. Biological Conservation, 143(11), 2808–2814. Scopus. </t>
  </si>
  <si>
    <t>https://doi.org/10.1016/j.biocon.2010.07.030</t>
  </si>
  <si>
    <t>Damdoi Forest Enterprise</t>
  </si>
  <si>
    <t>Firewood alternative cost- Farm forestry</t>
  </si>
  <si>
    <t>Firewood value- Farm forestry</t>
  </si>
  <si>
    <t>Siviculture value- Farm forestry</t>
  </si>
  <si>
    <t>Firewood alternative cost- Traditional forestry</t>
  </si>
  <si>
    <t>Firewood value- Traditional forestry</t>
  </si>
  <si>
    <t>Siviculture value- Traditional forestry</t>
  </si>
  <si>
    <t>Firewood alternative cost- Conservation forestry</t>
  </si>
  <si>
    <t>Firewood value- Conservation forestry</t>
  </si>
  <si>
    <t>Siviculture value- Conservation forestry</t>
  </si>
  <si>
    <t>Buffer zone</t>
  </si>
  <si>
    <t>Total annual forest value- Farm forestry</t>
  </si>
  <si>
    <t>Total annual forest value- Traditional forestry</t>
  </si>
  <si>
    <t>Total annual forest value- Conservation forestry</t>
  </si>
  <si>
    <t>Linear programming optimisation algorithm</t>
  </si>
  <si>
    <t>Net present value- Farm forestry</t>
  </si>
  <si>
    <t>Net present value- Traditional forestry</t>
  </si>
  <si>
    <t>Net present value- Conservation forestry</t>
  </si>
  <si>
    <t>USD/10 years</t>
  </si>
  <si>
    <t>Christensen, S. M., Tarp, P., &amp; Hjortsø, C. N.</t>
  </si>
  <si>
    <t>Mangrove forest management planning in coastal buffer and conservation zones, Vietnam: A multimethodological approach incorporating multiple stakeholders.</t>
  </si>
  <si>
    <t xml:space="preserve">Christensen, S. M., Tarp, P., &amp; Hjortsø, C. N. (2008). Mangrove forest management planning in coastal buffer and conservation zones, Vietnam: A multimethodological approach incorporating multiple stakeholders. Ocean and Coastal Management, 51(10), 712–726. Scopus. </t>
  </si>
  <si>
    <t>https://doi.org/10.1016/j.ocecoaman.2008.06.014</t>
  </si>
  <si>
    <t>Bac Kan Province</t>
  </si>
  <si>
    <t>Net present value of Manglietia Conifera- 8% discount rate from 2011-2017</t>
  </si>
  <si>
    <t>Net present value of Manglietia Conifera- 6% discount rate from 2011-2017</t>
  </si>
  <si>
    <t>Net present value of Manglietia Conifera- 10% discount rate from 2011-2017</t>
  </si>
  <si>
    <t>Net present value of Acacia Mangium- 6% discount rate from 2011-2017</t>
  </si>
  <si>
    <t>Net present value of Acacia Mangium- 8% discount rate from 2011-2017</t>
  </si>
  <si>
    <t>Net present value of Acacia Mangium- 10% discount rate from 2011-2017</t>
  </si>
  <si>
    <t>Net present value of Eucalyptus- 6% discount rate from 2011-2017</t>
  </si>
  <si>
    <t>Net present value of Eucalyptus- 8% discount rate from 2011-2017</t>
  </si>
  <si>
    <t>Net present value of Eucalyptus- 10% discount rate from 2011-2017</t>
  </si>
  <si>
    <t>Cuong, T., Chinh, T. T. Q., Zhang, Y., &amp; Xie, Y.</t>
  </si>
  <si>
    <t xml:space="preserve">Economic performance of forest plantations in Vietnam: Eucalyptus, Acacia mangium, and Manglietia conifera. </t>
  </si>
  <si>
    <t>Cuong, T., Chinh, T. T. Q., Zhang, Y., &amp; Xie, Y. (2020). Economic performance of forest plantations in Vietnam: Eucalyptus, Acacia mangium, and Manglietia conifera. Forests, 11(3). Scopus.</t>
  </si>
  <si>
    <t xml:space="preserve"> https://doi.org/10.3390/f11030284</t>
  </si>
  <si>
    <t>Bequest value</t>
  </si>
  <si>
    <t>Northeastern Vietnam</t>
  </si>
  <si>
    <t>Value of capture fisheries produciton</t>
  </si>
  <si>
    <t>Value of aquaculture production</t>
  </si>
  <si>
    <t>Value of aquatic bird production</t>
  </si>
  <si>
    <t>Value of wet rice production</t>
  </si>
  <si>
    <t>Value of beekeeping</t>
  </si>
  <si>
    <t>Value of tourism and recreation</t>
  </si>
  <si>
    <t>Natural hazard mitigation and adaptation value</t>
  </si>
  <si>
    <t>Value of carbon sequestration</t>
  </si>
  <si>
    <t>Option value</t>
  </si>
  <si>
    <t>Existence Value</t>
  </si>
  <si>
    <t>Total wetland ecosystem services</t>
  </si>
  <si>
    <t xml:space="preserve">Dang, K. B., Phan, T. T. H., Nguyen, T. T., Pham, T. P. N., Nguyen, M. H., Dang, V. B., Hoang, T. T. H., &amp; Ngo, V. L. </t>
  </si>
  <si>
    <t>Economic valuation of wetland ecosystem services in northeastern part of Vietnam.</t>
  </si>
  <si>
    <t>Dang, K. B., Phan, T. T. H., Nguyen, T. T., Pham, T. P. N., Nguyen, M. H., Dang, V. B., Hoang, T. T. H., &amp; Ngo, V. L. (2022). Economic valuation of wetland ecosystem services in northeastern part of Vietnam. Knowledge and Management of Aquatic Ecosystems, 2022-January(423). Scopus.</t>
  </si>
  <si>
    <t>https://doi.org/10.1051/kmae/2022010</t>
  </si>
  <si>
    <t>Forest income for poor without Payments for Forest Ecosystem Services</t>
  </si>
  <si>
    <t>Forest income for poor with Payments for Forest Ecosystem Services</t>
  </si>
  <si>
    <t>Forest income for non-poor without Payments for Forest Ecosystem Services</t>
  </si>
  <si>
    <t>Forest income for non-poor with Payments for Forest Ecosystem Services</t>
  </si>
  <si>
    <t>VND/yr</t>
  </si>
  <si>
    <t>Quang Nam and Thua Thien Hue Provinces</t>
  </si>
  <si>
    <t>Agricultural income for non-poor without Payments for Forest Ecosystem Services</t>
  </si>
  <si>
    <t>Agricultural income for non-poor with Payments for Forest Ecosystem Services</t>
  </si>
  <si>
    <t>Agricultural income for poor without Payments for Forest Ecosystem Services</t>
  </si>
  <si>
    <t>Agricultural income for poor with Payments for Forest Ecosystem Services</t>
  </si>
  <si>
    <t xml:space="preserve">Do, T. D., &amp; NaRanong, A. </t>
  </si>
  <si>
    <t xml:space="preserve">Livelihood and environmental impacts of payments for forest environmental services: A case study in Vietnam. </t>
  </si>
  <si>
    <t xml:space="preserve">Do, T. D., &amp; NaRanong, A. (2019). Livelihood and environmental impacts of payments for forest environmental services: A case study in Vietnam. Sustainability (Switzerland), 11(15). Scopus. </t>
  </si>
  <si>
    <t>https://doi.org/10.3390/su11154165</t>
  </si>
  <si>
    <t xml:space="preserve">Tram Chim National Park </t>
  </si>
  <si>
    <t>Mean willingness to pay for wetland protection- Households on the edge of the Mekong River Delta</t>
  </si>
  <si>
    <t>Mean willingness to pay for wetland protection- Households outside the Mekong River Delta</t>
  </si>
  <si>
    <t>Table/Figure/Page</t>
  </si>
  <si>
    <t>Table 9</t>
  </si>
  <si>
    <t>Higher bound total willingness to pay for wetland protection</t>
  </si>
  <si>
    <t>Lower bound total willingness to pay for wetland protection</t>
  </si>
  <si>
    <t xml:space="preserve">Do, T. N., &amp; Bennett, J. </t>
  </si>
  <si>
    <t>Estimating wetland biodiversity values: A choice modelling application in Vietnam’s Mekong River Delta.</t>
  </si>
  <si>
    <t xml:space="preserve">Do, T. N., &amp; Bennett, J. (2009). Estimating wetland biodiversity values: A choice modelling application in Vietnam’s Mekong River Delta. Environment and Development Economics, 14(2), 163–186. Scopus. </t>
  </si>
  <si>
    <t>https://doi.org/10.1017/S1355770X08004841</t>
  </si>
  <si>
    <t>Thai Thuy Wetland</t>
  </si>
  <si>
    <t>Value of disaster risk reduction</t>
  </si>
  <si>
    <t>Value of carbon storage</t>
  </si>
  <si>
    <t xml:space="preserve">Value of water purification </t>
  </si>
  <si>
    <t xml:space="preserve">Benefit transfer and replacement cost </t>
  </si>
  <si>
    <t>Regulating services</t>
  </si>
  <si>
    <t>Table 4</t>
  </si>
  <si>
    <t>Dung, N. M., &amp; Le, N. P.</t>
  </si>
  <si>
    <t xml:space="preserve">Economic Valuation of Regulating Ecosystem Services of Thai Thuy Wetland in the Red River Delta of Vietnam. </t>
  </si>
  <si>
    <t xml:space="preserve">Dung, N. M., &amp; Le, N. P. (2022). Economic Valuation of Regulating Ecosystem Services of Thai Thuy Wetland in the Red River Delta of Vietnam. Review of Applied Socio-Economic Research, 23(1), 97–108. Scopus. </t>
  </si>
  <si>
    <t>https://doi.org/10.54609/reaser.v23i1.115</t>
  </si>
  <si>
    <t>Co Phung community, Dong Chum commune, Da Bac District</t>
  </si>
  <si>
    <t>Pa Che community, Dong Chum commune, Da Bac District</t>
  </si>
  <si>
    <t>Moi 1 community, Dong Chum commune, Da Bac District</t>
  </si>
  <si>
    <t>Moi 2 community, Dong Chum commune, Da Bac District</t>
  </si>
  <si>
    <t>Ban Ha community, Muong Ching commune, Da Bac District</t>
  </si>
  <si>
    <t>Cho Long community, Nong Truong commune, Moc Chau District</t>
  </si>
  <si>
    <t>Tay Hung community, Chieng Hac commune, Moc Chau District</t>
  </si>
  <si>
    <t>A Ma 1 community, Loong Sap commune, Moc Chau District</t>
  </si>
  <si>
    <t>Table 1</t>
  </si>
  <si>
    <t>Duong, N. T. B., &amp; de Groot, W. T.</t>
  </si>
  <si>
    <t>Distributional risk in PES: Exploring the concept in the Payment for Environmental Forest Services program, Vietnam.</t>
  </si>
  <si>
    <t xml:space="preserve">Duong, N. T. B., &amp; de Groot, W. T. (2018). Distributional risk in PES: Exploring the concept in the Payment for Environmental Forest Services program, Vietnam. Forest Policy and Economics, 92, 22–32. Scopus. </t>
  </si>
  <si>
    <t>https://doi.org/10.1016/j.forpol.2018.03.008</t>
  </si>
  <si>
    <t>Dalat</t>
  </si>
  <si>
    <t>11°56'30"N</t>
  </si>
  <si>
    <t>108°26'180"E</t>
  </si>
  <si>
    <t>Climate regulation</t>
  </si>
  <si>
    <t>Disturbance regulation</t>
  </si>
  <si>
    <t>Water regulation</t>
  </si>
  <si>
    <t xml:space="preserve">Erosion control </t>
  </si>
  <si>
    <t xml:space="preserve">Soil formation </t>
  </si>
  <si>
    <t xml:space="preserve">Waste treatment </t>
  </si>
  <si>
    <t xml:space="preserve">Pollution </t>
  </si>
  <si>
    <t xml:space="preserve">Biological control </t>
  </si>
  <si>
    <t>Habitat/Refugia</t>
  </si>
  <si>
    <t xml:space="preserve">Food production </t>
  </si>
  <si>
    <t>Genetic resources</t>
  </si>
  <si>
    <t xml:space="preserve">Recreation  </t>
  </si>
  <si>
    <t>Table 3</t>
  </si>
  <si>
    <t>Table 5</t>
  </si>
  <si>
    <t>Table 6</t>
  </si>
  <si>
    <t>Table 7</t>
  </si>
  <si>
    <t>Table 8</t>
  </si>
  <si>
    <t>Table 11</t>
  </si>
  <si>
    <t>Table 12</t>
  </si>
  <si>
    <t>Table 13</t>
  </si>
  <si>
    <t>Total value of ecosystem services- Forest</t>
  </si>
  <si>
    <t>Total value of ecosystem services- Cropland</t>
  </si>
  <si>
    <t>Total value of ecosystem services- Grassland</t>
  </si>
  <si>
    <t>Total value of ecosystem services- Water</t>
  </si>
  <si>
    <t>Total value of ecosystem services- all biomes</t>
  </si>
  <si>
    <t>Estoque, R. C., &amp; Murayama, Y.</t>
  </si>
  <si>
    <t xml:space="preserve">Quantifying landscape pattern and ecosystem service value changes in four rapidly urbanizing hill stations of Southeast Asia. </t>
  </si>
  <si>
    <t xml:space="preserve">Estoque, R. C., &amp; Murayama, Y. (2016). Quantifying landscape pattern and ecosystem service value changes in four rapidly urbanizing hill stations of Southeast Asia. Landscape Ecology, 31(7), 1481–1507. Scopus. </t>
  </si>
  <si>
    <t>https://doi.org/10.1007/s10980-016-0341-6</t>
  </si>
  <si>
    <t>Ca Mau Province</t>
  </si>
  <si>
    <t>Income from mangrove harvest per production cycle 1995-2010</t>
  </si>
  <si>
    <t>Table 2</t>
  </si>
  <si>
    <t>Ha, T. T. T., van Dijk, H., &amp; Bush, S. R.</t>
  </si>
  <si>
    <t xml:space="preserve">Mangrove conservation or shrimp farmer’s livelihood? The devolution of forest management and benefit sharing in the Mekong Delta, Vietnam. </t>
  </si>
  <si>
    <t xml:space="preserve">Ha, T. T. T., van Dijk, H., &amp; Bush, S. R. (2012). Mangrove conservation or shrimp farmer’s livelihood? The devolution of forest management and benefit sharing in the Mekong Delta, Vietnam. Ocean and Coastal Management, 69, 185–193. Scopus. </t>
  </si>
  <si>
    <t>https://doi.org/10.1016/j.ocecoaman.2012.07.034</t>
  </si>
  <si>
    <t xml:space="preserve">PES payment </t>
  </si>
  <si>
    <t>Thừa Thiên-Huế</t>
  </si>
  <si>
    <t>Haas, J. C., Loft, L., &amp; Pham, T. T.</t>
  </si>
  <si>
    <t>How fair can incentive-based conservation get? The interdependence of distributional and contextual equity in Vietnam’s payments for Forest Environmental Services Program.</t>
  </si>
  <si>
    <t xml:space="preserve">Haas, J. C., Loft, L., &amp; Pham, T. T. (2019). How fair can incentive-based conservation get? The interdependence of distributional and contextual equity in Vietnam’s payments for Forest Environmental Services Program. Ecological Economics, 160, 205–214. Scopus. </t>
  </si>
  <si>
    <t>https://doi.org/10.1016/j.ecolecon.2019.02.021</t>
  </si>
  <si>
    <t>Table 6- monthly values converted in to yearly values</t>
  </si>
  <si>
    <t>Table 7- monthly values converted in to yearly values</t>
  </si>
  <si>
    <t>Coastal area-Protection from storms and floods- Value of 1% reduction in damages</t>
  </si>
  <si>
    <t>Coastal area-Seafood abundance in the lagoon- Per 1% increase in abundance</t>
  </si>
  <si>
    <t>Coastal area-Tourism to the mangrove areas- Per extra visiting tourist each year</t>
  </si>
  <si>
    <t xml:space="preserve">Urban area-Protection from storms and floods- Value of 1% reduction in damages </t>
  </si>
  <si>
    <t>Urban area-Seafood abundance in the lagoon- Per 1% increase in abundance</t>
  </si>
  <si>
    <t>Urban area-Tourism to the mangrove areas- Per extra visiting tourist each year</t>
  </si>
  <si>
    <t>Hagedoorn, L. C., Koetse, M. J., Van Beukering, P. J. H., &amp; Brander, L. M.</t>
  </si>
  <si>
    <t>Time equals money? Valuing ecosystem-based adaptation in a developing country context.</t>
  </si>
  <si>
    <t xml:space="preserve">Hagedoorn, L. C., Koetse, M. J., Van Beukering, P. J. H., &amp; Brander, L. M. (2020). Time equals money? Valuing ecosystem-based adaptation in a developing country context. Environment and Development Economics, 25(5), 482–508. Scopus. </t>
  </si>
  <si>
    <t>https://doi.org/10.1017/S1355770X20000108</t>
  </si>
  <si>
    <t>VND/ha/yr</t>
  </si>
  <si>
    <t>Estimated value for payments for ecosystem services</t>
  </si>
  <si>
    <t>Actual value for payments for ecosystem services</t>
  </si>
  <si>
    <t>Value of forest carbon cover</t>
  </si>
  <si>
    <t>Que Phong District</t>
  </si>
  <si>
    <t>Pu Hoat Nature Reserve</t>
  </si>
  <si>
    <t>Nghe An Province</t>
  </si>
  <si>
    <t>Page 112</t>
  </si>
  <si>
    <t>Amount of money collected by hydropower plants for ecosystem services</t>
  </si>
  <si>
    <t>Page 113</t>
  </si>
  <si>
    <t>Page 114</t>
  </si>
  <si>
    <t xml:space="preserve">Hai Yen, H. P., Viet Ha, N. T., Pham, B. T., Prakash, I., van Manh, L., Thuy Dung, N. T., Quoc Manh, P. B., &amp; Tuyen, T. T. </t>
  </si>
  <si>
    <t>Ecosystem services in mountainous area: A case study of Nghe An, Vietnam.</t>
  </si>
  <si>
    <t>Hai Yen, H. P., Viet Ha, N. T., Pham, B. T., Prakash, I., van Manh, L., Thuy Dung, N. T., Quoc Manh, P. B., &amp; Tuyen, T. T. (2020). Ecosystem services in mountainous area: A case study of Nghe An, Vietnam. Indian Journal of Ecology, 47(1), 109–116. Scopus.</t>
  </si>
  <si>
    <t>Pac Nam, Ba Be and Na Ri districts</t>
  </si>
  <si>
    <t>Hoang, M. H., Do, T. H., Pham, M. T., van Noordwijk, M., &amp; Minang, P. A.</t>
  </si>
  <si>
    <t xml:space="preserve"> Benefit distribution across scales to reduce emissions from deforestation and forest degradation (REDD+) in Vietnam.</t>
  </si>
  <si>
    <t xml:space="preserve">Hoang, M. H., Do, T. H., Pham, M. T., van Noordwijk, M., &amp; Minang, P. A. (2013). Benefit distribution across scales to reduce emissions from deforestation and forest degradation (REDD+) in Vietnam. Land Use Policy, 31, 48–60. Scopus. </t>
  </si>
  <si>
    <t>https://doi.org/10.1016/j.landusepol.2011.09.013</t>
  </si>
  <si>
    <t>Nang River watershed</t>
  </si>
  <si>
    <t>Estimated payment for the hydropower plant</t>
  </si>
  <si>
    <t xml:space="preserve">Table 7 </t>
  </si>
  <si>
    <t>Thai Binh</t>
  </si>
  <si>
    <t>Hai Duong</t>
  </si>
  <si>
    <t>Gross income from potato production</t>
  </si>
  <si>
    <t>Non-Monetary Benefits</t>
  </si>
  <si>
    <t>Vietnam</t>
  </si>
  <si>
    <t>Mekong River Delta</t>
  </si>
  <si>
    <t>Gross return from fish crustaceans- Brackish water polyculture</t>
  </si>
  <si>
    <t>Gross return from fish crustaceans- Rice-shrimp</t>
  </si>
  <si>
    <t>Table 2.3</t>
  </si>
  <si>
    <t>Joffre, O. M., &amp; Schmitt, K.</t>
  </si>
  <si>
    <t>Community livelihood and patterns of natural resources uses in the shrimp-farm impacted Mekong Delta.</t>
  </si>
  <si>
    <t xml:space="preserve">Joffre, O. M., &amp; Schmitt, K. (2010). Community livelihood and patterns of natural resources uses in the shrimp-farm impacted Mekong Delta. Aquaculture Research, 41(12), 1855–1866. Scopus. </t>
  </si>
  <si>
    <t>https://doi.org/10.1111/j.1365-2109.2010.02588.x</t>
  </si>
  <si>
    <t>Amount farmers receive for as payment for forest protection</t>
  </si>
  <si>
    <t>Van Chan Province, Yen Bai Province, North-Western region</t>
  </si>
  <si>
    <t>PES range 300-700</t>
  </si>
  <si>
    <t>Jourdain, D., Boere, E., van den Berg, M., Dang, Q. D., Cu, T. P., Affholder, F., &amp; Pandey, S.</t>
  </si>
  <si>
    <t xml:space="preserve">Water for forests to restore environmental services and alleviate poverty in Vietnam: A farm modeling approach to analyze alternative PES programs. </t>
  </si>
  <si>
    <t xml:space="preserve">Jourdain, D., Boere, E., van den Berg, M., Dang, Q. D., Cu, T. P., Affholder, F., &amp; Pandey, S. (2014). Water for forests to restore environmental services and alleviate poverty in Vietnam: A farm modeling approach to analyze alternative PES programs. Land Use Policy, 41, 423–437. Scopus. </t>
  </si>
  <si>
    <t>https://doi.org/10.1016/j.landusepol.2014.06.024</t>
  </si>
  <si>
    <t>U Minh Thuong National Park</t>
  </si>
  <si>
    <t>Khai, H. V., &amp; Yabe, M.</t>
  </si>
  <si>
    <t xml:space="preserve">Choice modeling: Assessing the non-market environmental values of the biodiversity conservation of swamp forest in Vietnam. </t>
  </si>
  <si>
    <t xml:space="preserve">Khai, H. V., &amp; Yabe, M. (2014). Choice modeling: Assessing the non-market environmental values of the biodiversity conservation of swamp forest in Vietnam. International Journal of Energy and Environmental Engineering, 5(1), 1–8. Scopus. </t>
  </si>
  <si>
    <t>https://doi.org/10.1007/s40095-014-0077-5</t>
  </si>
  <si>
    <t>Willingness to pay per kg of environmentally certified rice to increase the number of  Saurus cranes</t>
  </si>
  <si>
    <t>Willingness to pay for rice cultivation with a 75% reduction in pesticides</t>
  </si>
  <si>
    <t>Willingness to pay for rice cultivation without pesticides</t>
  </si>
  <si>
    <t>Willingness to pay for rice cultivation with 50% increase in biodiversity</t>
  </si>
  <si>
    <t>Willingness to pay fo rrice cultivation with a 100% increase in biodiversity</t>
  </si>
  <si>
    <t>Could not find year of validation</t>
  </si>
  <si>
    <t xml:space="preserve"> Consumer preferences for agricultural products considering the value of biodiversity conservation in the Mekong Delta, Vietnam.</t>
  </si>
  <si>
    <t>Khai, H. V., &amp; Yabe, M. (2015). Consumer preferences for agricultural products considering the value of biodiversity conservation in the Mekong Delta, Vietnam. Journal for Nature Conservation, 25, 62–71. Scopus.</t>
  </si>
  <si>
    <t>https://doi.org/10.1016/j.jnc.2015.02.004</t>
  </si>
  <si>
    <t>Willingness to pay for salinity reduction- Households in area with salinity intrusion</t>
  </si>
  <si>
    <t xml:space="preserve">Willingness to pay for salinity reduction- Households in area with high risk of salinity intrusion </t>
  </si>
  <si>
    <t xml:space="preserve">Willingness to pay for salinity reduction- Households in area with no risk of salinity intrusion </t>
  </si>
  <si>
    <t>Cau Ke district</t>
  </si>
  <si>
    <t>Vinh Thanh district</t>
  </si>
  <si>
    <t>Tra On district and part of Cau Ke district</t>
  </si>
  <si>
    <t>Agricultural production</t>
  </si>
  <si>
    <t>Khong, T. D., Young, M. D., Loch, A., &amp; Thennakoon, J.</t>
  </si>
  <si>
    <t>Mekong River Delta farm-household willingness to pay for salinity intrusion risk reduction.</t>
  </si>
  <si>
    <t xml:space="preserve">Khong, T. D., Young, M. D., Loch, A., &amp; Thennakoon, J. (2018). Mekong River Delta farm-household willingness to pay for salinity intrusion risk reduction. Agricultural Water Management, 200, 80–89. Scopus. </t>
  </si>
  <si>
    <t>https://doi.org/10.1016/j.agwat.2017.12.010</t>
  </si>
  <si>
    <t>Phuoc Vinh Dong Commune, Long An Province</t>
  </si>
  <si>
    <t>Mean willingness to pay for clean water</t>
  </si>
  <si>
    <t>Page 200</t>
  </si>
  <si>
    <t>Kinh, B. D., Tanaka, K., &amp; Matsuoka, S.</t>
  </si>
  <si>
    <t xml:space="preserve"> Valuing rural piped water services in the Mekong Delta, Vietnam: Case study at Phuoc Vinh Dong commune. </t>
  </si>
  <si>
    <t xml:space="preserve">Kinh, B. D., Tanaka, K., &amp; Matsuoka, S. (2014). Valuing rural piped water services in the Mekong Delta, Vietnam: Case study at Phuoc Vinh Dong commune. In Coastal Environments: Focus on Asian Regions (pp. 190–203). Scopus. </t>
  </si>
  <si>
    <t>https://doi.org/10.1007/978-90-481-3002-3_13</t>
  </si>
  <si>
    <t>Value of ecosystem services</t>
  </si>
  <si>
    <t xml:space="preserve">Table 1 </t>
  </si>
  <si>
    <t>Kubiszewski, I., Anderson, S. J., Costanza, R., &amp; Sutton, P. C.</t>
  </si>
  <si>
    <t xml:space="preserve"> The Future of Ecosystem Services in Asia and the Pacific.</t>
  </si>
  <si>
    <t>Kubiszewski, I., Anderson, S. J., Costanza, R., &amp; Sutton, P. C. (2016). The Future of Ecosystem Services in Asia and the Pacific. Asia and the Pacific Policy Studies, 3(3), 389–404. Scopus.</t>
  </si>
  <si>
    <t>https://doi.org/10.1002/app5.147</t>
  </si>
  <si>
    <t>Can Gio Mangrove Biosphere Reserve</t>
  </si>
  <si>
    <t xml:space="preserve">Value of fish catch </t>
  </si>
  <si>
    <t>Page 178</t>
  </si>
  <si>
    <t xml:space="preserve">Tourism based ecosystem service value </t>
  </si>
  <si>
    <t>Residents' estimated value of mangroves</t>
  </si>
  <si>
    <t>Timber value to households</t>
  </si>
  <si>
    <t>Page 179, Timber-related quoted values and the authors' calculations</t>
  </si>
  <si>
    <t xml:space="preserve">Kuenzer, C., &amp; Tuan, V. Q. </t>
  </si>
  <si>
    <t>Assessing the ecosystem services value of can gio mangrove biosphere reserve: Combining earth-observation- and household-survey-based analyses.</t>
  </si>
  <si>
    <t xml:space="preserve">Kuenzer, C., &amp; Tuan, V. Q. (2013). Assessing the ecosystem services value of can gio mangrove biosphere reserve: Combining earth-observation- and household-survey-based analyses. Applied Geography, 45, 167–184. Scopus. </t>
  </si>
  <si>
    <t>https://doi.org/10.1016/j.apgeog.2013.08.012</t>
  </si>
  <si>
    <t>Profit of tiger shrimp in area with low forest cover (&lt;30% forest cover)</t>
  </si>
  <si>
    <t>Profit of tiger shrimp in area with medium forest cover (30-45% forest cover)</t>
  </si>
  <si>
    <t>Profit of tiger shrimp in area with high forest cover (&lt;30% forest cover)</t>
  </si>
  <si>
    <t>Ngoc Hien District, Ca Mau Province</t>
  </si>
  <si>
    <t>Lai, Q. T., Tuan, V. A., Thuy, N. T. B., Huynh, L. D., &amp; Duc, N. M.</t>
  </si>
  <si>
    <t xml:space="preserve">A closer look into shrimp yields and mangrove coverage ratio in integrated mangrove-shrimp farming systems in Ca Mau, Vietnam. </t>
  </si>
  <si>
    <t>Lai, Q. T., Tuan, V. A., Thuy, N. T. B., Huynh, L. D., &amp; Duc, N. M. (2022). A closer look into shrimp yields and mangrove coverage ratio in integrated mangrove-shrimp farming systems in Ca Mau, Vietnam. Aquaculture International, 30(2), 863–882. Scopu</t>
  </si>
  <si>
    <t>https://doi.org/10.1007/s10499-021-00831-1</t>
  </si>
  <si>
    <t>Page 906</t>
  </si>
  <si>
    <t>Average payment for protecting forest ecosystems</t>
  </si>
  <si>
    <t>Da Bac District</t>
  </si>
  <si>
    <t>Moc Chau District</t>
  </si>
  <si>
    <t xml:space="preserve">Net returns from maize production </t>
  </si>
  <si>
    <t>Page 909</t>
  </si>
  <si>
    <t>Lan, L. N., Wichelns, D., Milan, F., Hoanh, C. T., &amp; Phuong, N. D.</t>
  </si>
  <si>
    <t>Household opportunity costs of protecting and developing forest lands in Son La and Hoa Binh provinces, Vietnam.</t>
  </si>
  <si>
    <t xml:space="preserve">Lan, L. N., Wichelns, D., Milan, F., Hoanh, C. T., &amp; Phuong, N. D. (2016). Household opportunity costs of protecting and developing forest lands in Son La and Hoa Binh provinces, Vietnam. International Journal of the Commons, 10(2), 902–928. Scopus. </t>
  </si>
  <si>
    <t>https://doi.org/10.18352/ijc.620</t>
  </si>
  <si>
    <t>Profit from paddy production- Winter-spring- Low adoption of alternative wetting and drying- Winte</t>
  </si>
  <si>
    <t xml:space="preserve">Profit from paddy production-Winter-spring-  Low adoption of alternative wetting and drying </t>
  </si>
  <si>
    <t xml:space="preserve">Profit from paddy production- Summer-autumn- Low adoption of alternative wetting and drying </t>
  </si>
  <si>
    <t xml:space="preserve">Profit from paddy production- Autumn-winter- Low adoption of alternative wetting and drying </t>
  </si>
  <si>
    <t>An Giang, Dong Thap, Bac Lieu and Soc Trang Provinces</t>
  </si>
  <si>
    <t xml:space="preserve">Le, L. T. </t>
  </si>
  <si>
    <t>Alternate wetting and drying technique in paddy production in the Mekong Delta, Vietnam: Economic evaluation and adoption determinants.</t>
  </si>
  <si>
    <t xml:space="preserve">Le, L. T. (2021). Alternate wetting and drying technique in paddy production in the Mekong Delta, Vietnam: Economic evaluation and adoption determinants. Journal of Agribusiness in Developing and Emerging Economies, 11(1), 42–59. Scopus. </t>
  </si>
  <si>
    <t>https://doi.org/10.1108/JADEE-09-2019-0153</t>
  </si>
  <si>
    <t>Tan Lac district, Hoa Binh province</t>
  </si>
  <si>
    <t>Mean williness to pay for insecure property rights- only access to NTFP</t>
  </si>
  <si>
    <t>Mean willingness to pay for secure property rights- Land owner rights</t>
  </si>
  <si>
    <t xml:space="preserve">VND/ha </t>
  </si>
  <si>
    <t>Vietnamese Dong</t>
  </si>
  <si>
    <t xml:space="preserve">Table 2 </t>
  </si>
  <si>
    <t>Linde-Rahr, M.</t>
  </si>
  <si>
    <t>Willingness to pay for forest property rights and the value of increased property rights security.</t>
  </si>
  <si>
    <t xml:space="preserve">Linde-Rahr, M. (2008). Willingness to pay for forest property rights and the value of increased property rights security. Environmental and Resource Economics, 41(4), 465–478. Scopus. </t>
  </si>
  <si>
    <t>https://doi.org/10.1007/s10640-008-9202-3</t>
  </si>
  <si>
    <t>Dong Hoa, An Minh district</t>
  </si>
  <si>
    <t>Dong Hung, An Minh district</t>
  </si>
  <si>
    <t>Dong Hung A, An Minh district</t>
  </si>
  <si>
    <t>Dong Hung B, An Minh district</t>
  </si>
  <si>
    <t>Dong Thanh, An Minh district</t>
  </si>
  <si>
    <t>Tan Thanh, An Minh district</t>
  </si>
  <si>
    <t>Thu 11, An Minh district</t>
  </si>
  <si>
    <t>Thuan Hoa, An Minh district</t>
  </si>
  <si>
    <t>Van Khanh, An Minh district</t>
  </si>
  <si>
    <t>Van Khanh Dong, An Minh district</t>
  </si>
  <si>
    <t>Van Khanh Tay, An Minh district</t>
  </si>
  <si>
    <t>Rent method</t>
  </si>
  <si>
    <t>An Minh District</t>
  </si>
  <si>
    <t>Loc, H. H., Thi Hong Diep, N., Can, N. T., Irvine, K. N., &amp; Shimizu, Y.</t>
  </si>
  <si>
    <t xml:space="preserve">Integrated evaluation of Ecosystem Services in Prawn-Rice rotational crops, Vietnam. </t>
  </si>
  <si>
    <t xml:space="preserve">Loc, H. H., Thi Hong Diep, N., Can, N. T., Irvine, K. N., &amp; Shimizu, Y. (2017). Integrated evaluation of Ecosystem Services in Prawn-Rice rotational crops, Vietnam. Ecosystem Services, 26, 377–387. Scopus. </t>
  </si>
  <si>
    <t>https://doi.org/10.1016/j.ecoser.2016.04.007</t>
  </si>
  <si>
    <t>Economic value of ecosystem services in prawn-rice rotational crops</t>
  </si>
  <si>
    <t>Average economic value of ecosystem services in prawn-rice rotational crops</t>
  </si>
  <si>
    <t>Payments for forest services for the Song Da watershed</t>
  </si>
  <si>
    <t xml:space="preserve">Page 170, Section 42 </t>
  </si>
  <si>
    <t>Payments for forest ecosystem services</t>
  </si>
  <si>
    <t>Song Da watershed, Dien Bien province</t>
  </si>
  <si>
    <t>Ho Luong 1, Dien Bien province</t>
  </si>
  <si>
    <t>Ho Huoi Luong, Dien Bien province</t>
  </si>
  <si>
    <t>Ke Cai, Dien Bien province</t>
  </si>
  <si>
    <t>Na Dang, Dien Bien province</t>
  </si>
  <si>
    <t>Doi 2, Dien Bien province</t>
  </si>
  <si>
    <t>Doi 6, Dien Bien province</t>
  </si>
  <si>
    <t>Muong Pon 2, Dien Bien province</t>
  </si>
  <si>
    <t>Huoi Un, Dien Bien province</t>
  </si>
  <si>
    <t>Loft, L., Le, D. N., Pham, T. T., Yang, A. L., Tjajadi, J. S., &amp; Wong, G. Y.</t>
  </si>
  <si>
    <t xml:space="preserve">Whose Equity Matters? National to Local Equity Perceptions in Vietnam’s Payments for Forest Ecosystem Services Scheme. </t>
  </si>
  <si>
    <t xml:space="preserve">Loft, L., Le, D. N., Pham, T. T., Yang, A. L., Tjajadi, J. S., &amp; Wong, G. Y. (2017). Whose Equity Matters? National to Local Equity Perceptions in Vietnam’s Payments for Forest Ecosystem Services Scheme. Ecological Economics, 135, 164–175. Scopus. </t>
  </si>
  <si>
    <t>https://doi.org/10.1016/j.ecolecon.2017.01.016</t>
  </si>
  <si>
    <t>Returns from acacia plantations in a 5 year rotation with a 7% discount rate</t>
  </si>
  <si>
    <t>Returns from acacia plantations in a 5 year rotation with a 12% discount rate</t>
  </si>
  <si>
    <t>Returns from acacia plantations in a 6 year rotation with a 7% discount rate</t>
  </si>
  <si>
    <t>Returns from acacia plantations in a 6 year rotation with a 12% discount rate</t>
  </si>
  <si>
    <t>Returns from acacia plantations in a 10 year rotation with a 7% discount rate</t>
  </si>
  <si>
    <t>Returns from acacia plantations in a 10 year rotation with a 12% discount rate</t>
  </si>
  <si>
    <t xml:space="preserve">USD/ha  </t>
  </si>
  <si>
    <t>Maraseni, T. N., Son, H. L., Cockfield, G., Duy, H. V., &amp; Nghia, T. D.</t>
  </si>
  <si>
    <t>Comparing the financial returns from acacia plantations with different plantation densities and rotation ages in Vietnam.</t>
  </si>
  <si>
    <t xml:space="preserve">Maraseni, T. N., Son, H. L., Cockfield, G., Duy, H. V., &amp; Nghia, T. D. (2017). Comparing the financial returns from acacia plantations with different plantation densities and rotation ages in Vietnam. Forest Policy and Economics, 83, 80–87. Scopus. </t>
  </si>
  <si>
    <t>https://doi.org/10.1016/j.forpol.2017.06.010</t>
  </si>
  <si>
    <t>Lam Dong Province</t>
  </si>
  <si>
    <t>Fees collected in pilot PES project from Dai Ninh and Da Nhim Hydropower plants, water supply companies of Ho Chi Minh and Bien Hoa cities and 5 tourism companies</t>
  </si>
  <si>
    <t>Fees collected in pilot PES project from Hoa Binh and Suoi Sap hydroelectric companies and water supply company of Son La city</t>
  </si>
  <si>
    <t>Service area is the maximum area under PES per household</t>
  </si>
  <si>
    <t xml:space="preserve">McElwee, P., Nghiem, T., Le, H., Vu, H., &amp; Tran, N. </t>
  </si>
  <si>
    <t>Payments for environmental services and contested neoliberalisation in developing countries: A case study from Vietnam.</t>
  </si>
  <si>
    <t>McElwee, P., Nghiem, T., Le, H., Vu, H., &amp; Tran, N. (2014). Payments for environmental services and contested neoliberalisation in developing countries: A case study from Vietnam. Journal of Rural Studies, 36, 423–440. Scopus.</t>
  </si>
  <si>
    <t>https://doi.org/10.1016/j.jrurstud.2014.08.003</t>
  </si>
  <si>
    <t>Payments from hydropower companies for soil protection &amp; restriction of erosion and sedimentation of reservoirs, rivers and streams; regulation and maintenance of water sources for production</t>
  </si>
  <si>
    <t>USD/kWh</t>
  </si>
  <si>
    <t>Payments from domestic water production and supply companies for regulation and maintenance of water sources for production</t>
  </si>
  <si>
    <t>Lao Cai Province</t>
  </si>
  <si>
    <t>Thanh Hoa and Nghe An Province</t>
  </si>
  <si>
    <t>Page 10</t>
  </si>
  <si>
    <t>Ecosystem value of the Hoa Binh hydropower watershed</t>
  </si>
  <si>
    <t>Hoa Binh Watershed</t>
  </si>
  <si>
    <t>Average PES for Vietnam</t>
  </si>
  <si>
    <t>Page 13</t>
  </si>
  <si>
    <t>Che Tao commune</t>
  </si>
  <si>
    <t>Payments for forest ecosystem services per person</t>
  </si>
  <si>
    <t>USD/per person/yr</t>
  </si>
  <si>
    <t>Box 1</t>
  </si>
  <si>
    <t>McElwee, P., Huber, B., &amp; Nguyễn, T. H. V.</t>
  </si>
  <si>
    <t xml:space="preserve">Hybrid Outcomes of Payments for Ecosystem Services Policies in Vietnam: Between Theory and Practice. </t>
  </si>
  <si>
    <t xml:space="preserve">McElwee, P., Huber, B., &amp; Nguyễn, T. H. V. (2020). Hybrid Outcomes of Payments for Ecosystem Services Policies in Vietnam: Between Theory and Practice. Development and Change, 51(1), 253–280. Scopus. </t>
  </si>
  <si>
    <t>https://doi.org/10.1111/dech.12548</t>
  </si>
  <si>
    <t>Other raw</t>
  </si>
  <si>
    <t>Cash income generation from fuelwood</t>
  </si>
  <si>
    <t>Cash income generation from leaves</t>
  </si>
  <si>
    <t>Cash income generation from fruits</t>
  </si>
  <si>
    <t>Cash income generation from timber</t>
  </si>
  <si>
    <t>Cash income generation from rattans/bamboos</t>
  </si>
  <si>
    <t>Cash income generation from charcoal</t>
  </si>
  <si>
    <t>Cash income generation from medicinals</t>
  </si>
  <si>
    <t>Cash income generation from honey</t>
  </si>
  <si>
    <t>Cash income generation from aromatics/oils/others</t>
  </si>
  <si>
    <t>Cash income generation from animals</t>
  </si>
  <si>
    <t>VND/household/yr</t>
  </si>
  <si>
    <t>Ke Go Nature Reserve, Ha Ting Province</t>
  </si>
  <si>
    <t xml:space="preserve">McElwee, P. D. </t>
  </si>
  <si>
    <t xml:space="preserve">Forest environmental income in Vietnam: Household socioeconomic factors influencing forest use. </t>
  </si>
  <si>
    <t xml:space="preserve">McElwee, P. D. (2008). Forest environmental income in Vietnam: Household socioeconomic factors influencing forest use. Environmental Conservation, 35(2), 147–159. Scopus. </t>
  </si>
  <si>
    <t>https://doi.org/10.1017/S0376892908004736</t>
  </si>
  <si>
    <t>Price of illegal sale of a star tortoise</t>
  </si>
  <si>
    <t>Price of illegal sale of a soft-shelled turtle</t>
  </si>
  <si>
    <t>Page 7</t>
  </si>
  <si>
    <t xml:space="preserve">McNall, S. G., Dang, L. Q., &amp; Sobieszczyk, T. </t>
  </si>
  <si>
    <t>Ecotourism in Costa Rica and Vietnam: Is It Sustainable?</t>
  </si>
  <si>
    <t xml:space="preserve">McNall, S. G., Dang, L. Q., &amp; Sobieszczyk, T. (2016). Ecotourism in Costa Rica and Vietnam: Is It Sustainable? Sustainability (United States), 9(3), 144–154. Scopus. </t>
  </si>
  <si>
    <t>https://doi.org/10.1089/SUS.2016.29058.sgm</t>
  </si>
  <si>
    <t>Yen Bai Province</t>
  </si>
  <si>
    <t>Net present value of household planted Eucalyptus urophylla forests for timber- 1% discount rate for 10 years</t>
  </si>
  <si>
    <t>Net present value of household planted Eucalyptus urophylla forests for timber- 5% discount rate for 10 years</t>
  </si>
  <si>
    <t>Net present value of household planted Eucalyptus urophylla forests for timber- 9% discount rate for 9 years</t>
  </si>
  <si>
    <t>Net present value of household planted Eucalyptus urophylla forests for timber- 8% discount rate for 9 years</t>
  </si>
  <si>
    <t>Net present value of household planted Eucalyptus urophylla forests for timber- mean for all  discount rates for 9.6 years</t>
  </si>
  <si>
    <t>Net present value of household planted Acacia mangium forests for timber- 1% discount rate for 17 years</t>
  </si>
  <si>
    <t>Net present value of household planted Acacia mangium forests for timber- 5% discount rate for 13 years</t>
  </si>
  <si>
    <t>Net present value of household planted Acacia mangium forests for timber- 8% discount rate for 11 years</t>
  </si>
  <si>
    <t>Net present value household planted Acacia mangium forests for timber- 10% discount rate for 10 years</t>
  </si>
  <si>
    <t>Net present value household planted Acacia mangium forests for timber- mean for all  discount rates for 13.5 years</t>
  </si>
  <si>
    <t>Net present value of household planted Acacia mangium forests timber and carbon- 1% discount rate for 17 years</t>
  </si>
  <si>
    <t>Net present value of household planted Acacia mangium forests for timber and carbon- 5% discount rate for 13 years</t>
  </si>
  <si>
    <t>Net present value of household planted Acacia mangium forests for timber and carbon- 8% discount rate for 11 years</t>
  </si>
  <si>
    <t>Net present value of household planted Acacia mangium forests for timber and carbon- 10% discount rate for 10 years</t>
  </si>
  <si>
    <t>Net present value of household planted Acacia mangium forests for timber and carbon- mean for all  discount rates for 13.5 years</t>
  </si>
  <si>
    <t>Optimisation rotation model</t>
  </si>
  <si>
    <t>Nghiem, N.</t>
  </si>
  <si>
    <t xml:space="preserve"> Optimal forest management for timber value and carbon sequestration benefits in tropical planted forests: A case study of household foresters in Vietnam.</t>
  </si>
  <si>
    <t xml:space="preserve">Nghiem, N. (2014). Optimal forest management for timber value and carbon sequestration benefits in tropical planted forests: A case study of household foresters in Vietnam. Environment and Development Economics, 39(11), 746–766. Scopus. </t>
  </si>
  <si>
    <t>https://doi.org/10.1017/S1355770X14000680</t>
  </si>
  <si>
    <t xml:space="preserve">An Giang, Can Tho and Soc Trang Province </t>
  </si>
  <si>
    <t xml:space="preserve">Net present value of medium sized traditional aquaculture farm </t>
  </si>
  <si>
    <t xml:space="preserve">Net present value of large sized traditional aquaculture farm </t>
  </si>
  <si>
    <t xml:space="preserve">Net present value of medium sized recirculating aquaculture system farm </t>
  </si>
  <si>
    <t xml:space="preserve">Net present value of large sized recirculating aquaculture systems  farm </t>
  </si>
  <si>
    <t>Ngoc, P. T. A., Meuwissen, M. P. M., Cong Tru, L., Bosma, R. H., Verreth, J., &amp; Lansink, A. O.</t>
  </si>
  <si>
    <t>Economic feasibility of recirculating aquaculture systems in pangasius farming.</t>
  </si>
  <si>
    <t xml:space="preserve">Ngoc, P. T. A., Meuwissen, M. P. M., Cong Tru, L., Bosma, R. H., Verreth, J., &amp; Lansink, A. O. (2016). Economic feasibility of recirculating aquaculture systems in pangasius farming. Aquaculture Economics and Management, 20(2), 185–200. Scopus. </t>
  </si>
  <si>
    <t>https://doi.org/10.1080/13657305.2016.1156190</t>
  </si>
  <si>
    <t xml:space="preserve">Gross margin of shrimp production generated from mangrove-shrimp farming: 4-year depreciation of long term investment scenario, 30% mangrove coverage, 4 households </t>
  </si>
  <si>
    <t xml:space="preserve">Gross margin of shrimp production generated from mangrove-shrimp farming: 4-year depreciation of long term investment scenario, 40% mangrove coverage, 4 households </t>
  </si>
  <si>
    <t xml:space="preserve">Gross margin of shrimp production generated from mangrove-shrimp farming: 4-year depreciation of long term investment scenario, 50% mangrove coverage, 14 households </t>
  </si>
  <si>
    <t xml:space="preserve">Gross margin of shrimp production generated from mangrove-shrimp farming: 4-year depreciation of long term investment scenario, 60% mangrove coverage, 7 households </t>
  </si>
  <si>
    <t xml:space="preserve">Gross margin of shrimp production generated from mangrove-shrimp farming: 4-year depreciation of long term investment scenario, 70% mangrove coverage, 8 households </t>
  </si>
  <si>
    <t xml:space="preserve">Gross margin of shrimp production generated from mangrove-shrimp farming: 6-year depreciation of long term investment scenario, 30% mangrove coverage, 4 households </t>
  </si>
  <si>
    <t xml:space="preserve">Gross margin of shrimp production generated from mangrove-shrimp farming: 6-year depreciation of long term investment scenario, 40% mangrove coverage, 4 households </t>
  </si>
  <si>
    <t xml:space="preserve">Gross margin of shrimp production generated from mangrove-shrimp farming: 6-year depreciation of long term investment scenario, 50% mangrove coverage, 14 households </t>
  </si>
  <si>
    <t xml:space="preserve">Gross margin of shrimp production generated from mangrove-shrimp farming: 6-year depreciation of long term investment scenario, 60% mangrove coverage, 7 households </t>
  </si>
  <si>
    <t xml:space="preserve">Gross margin of shrimp production generated from mangrove-shrimp farming: 6-year depreciation of long term investment scenario, 70% mangrove coverage, 8 households </t>
  </si>
  <si>
    <t xml:space="preserve">Gross margin of shrimp production generated from mangrove-shrimp farming: 12-year depreciation of long term investment scenario, 30% mangrove coverage, 4 households </t>
  </si>
  <si>
    <t xml:space="preserve">Gross margin of shrimp production generated from mangrove-shrimp farming: 12-year depreciation of long term investment scenario, 40% mangrove coverage, 4 households </t>
  </si>
  <si>
    <t xml:space="preserve">Gross margin of shrimp production generated from mangrove-shrimp farming: 12-year depreciation of long term investment scenario, 50% mangrove coverage, 14 households </t>
  </si>
  <si>
    <t xml:space="preserve">Gross margin of shrimp production generated from mangrove-shrimp farming: 12-year depreciation of long term investment scenario, 60% mangrove coverage, 7 households </t>
  </si>
  <si>
    <t xml:space="preserve">Gross margin of shrimp production generated from mangrove-shrimp farming: 12-year depreciation of long term investment scenario, 70% mangrove coverage, 8 households </t>
  </si>
  <si>
    <t xml:space="preserve">Gross margin of shrimp production generated from mangrove-shrimp farming: 24-year depreciation of long term investment scenario, 30% mangrove coverage, 4 households </t>
  </si>
  <si>
    <t xml:space="preserve">Gross margin of shrimp production generated from mangrove-shrimp farming: 24-year depreciation of long term investment scenario, 40% mangrove coverage, 4 households </t>
  </si>
  <si>
    <t xml:space="preserve">Gross margin of shrimp production generated from mangrove-shrimp farming: 24-year depreciation of long term investment scenario, 50% mangrove coverage, 14 households </t>
  </si>
  <si>
    <t xml:space="preserve">Gross margin of shrimp production generated from mangrove-shrimp farming: 24-year depreciation of long term investment scenario, 60% mangrove coverage, 7 households </t>
  </si>
  <si>
    <t xml:space="preserve">Gross margin of shrimp production generated from mangrove-shrimp farming: 24-year depreciation of long term investment scenario, 70% mangrove coverage, 8 households </t>
  </si>
  <si>
    <t>Gross margin of mangrove and shrimp farming- 4-year depreciation of long-term investment scenario</t>
  </si>
  <si>
    <t>Gross margin of intensive shrimp farming- 4-year depreciation of long-term investment scenario</t>
  </si>
  <si>
    <t>Gross margin of mangrove of extensive shrimp farming- 4-year depreciation of long-term investment scenario</t>
  </si>
  <si>
    <t>Gross margin of mangrove and shrimp farming- 6-year depreciation of long-term investment scenario</t>
  </si>
  <si>
    <t>Gross margin of intensive shrimp farming- 6-year depreciation of long-term investment scenario</t>
  </si>
  <si>
    <t>Gross margin of mangrove of extensive shrimp farming- 6-year depreciation of long-term investment scenario</t>
  </si>
  <si>
    <t>Gross margin of mangrove and shrimp farming- 12-year depreciation of long-term investment scenario</t>
  </si>
  <si>
    <t>Gross margin of intensive shrimp farming- 12-year depreciation of long-term investment scenario</t>
  </si>
  <si>
    <t>Gross margin of mangrove of extensive shrimp farming- 12-year depreciation of long-term investment scenario</t>
  </si>
  <si>
    <t>Gross margin of mangrove and shrimp farming- 24-year depreciation of long-term investment scenario</t>
  </si>
  <si>
    <t>Gross margin of intensive shrimp farming- 24-year depreciation of long-term investment scenario</t>
  </si>
  <si>
    <t>Gross margin of mangrove of extensive shrimp farming- 24-year depreciation of long-term investment scenario</t>
  </si>
  <si>
    <t>Payment for exosystem services received by farmers in the mangrove forest</t>
  </si>
  <si>
    <t>Protection from erosion</t>
  </si>
  <si>
    <t>Nguyen, H., Chu, L., Harper, R. J., Dell, B., &amp; Hoang, H.</t>
  </si>
  <si>
    <t>Mangrove-shrimp farming: A triple-win approach for communities in the Mekong River Delta.</t>
  </si>
  <si>
    <t>Nguyen, H., Chu, L., Harper, R. J., Dell, B., &amp; Hoang, H. (2022). Mangrove-shrimp farming: A triple-win approach for communities in the Mekong River Delta. Ocean and Coastal Management, 221. Scopus.</t>
  </si>
  <si>
    <t>https://doi.org/10.1016/j.ocecoaman.2022.106082</t>
  </si>
  <si>
    <t>Plant genetic resources</t>
  </si>
  <si>
    <t>Thua Thien-Hue province, Quang Ngai province and Binh Dinh province</t>
  </si>
  <si>
    <t>Acacia hybrid has reduced transport costs due to its light weight, high survival rates due to stronger and more complicated root systems, environmental friendliness due to non use of infividual polythene covers and reduced labour costs due to ease of planting</t>
  </si>
  <si>
    <t>Binh Dinh</t>
  </si>
  <si>
    <t>Quang Ngai</t>
  </si>
  <si>
    <t>Thua Thien-Hue</t>
  </si>
  <si>
    <t>Willingness to pay for forest plantation owners for acacia hybrid nursery stock- standard model</t>
  </si>
  <si>
    <t>Willingness to pay for forest plantation owners for acacia hybrid nursery stock- certainty adjusted model</t>
  </si>
  <si>
    <t>Mean willingness to pay for forest plantation owners for acacia hybrid nursery stock- standard model</t>
  </si>
  <si>
    <t>Mean willingness to pay for forest plantation owners for acacia hybrid nursery stock- certainty adjusted model</t>
  </si>
  <si>
    <t xml:space="preserve">Nguyen, H. T., Ariyawardana, A., &amp; Ratnasiri, S. </t>
  </si>
  <si>
    <t>Forest plantation owners’ willingness to pay for hybrid nursery stock: The case of Acacia hybrids in Central Vietnam.</t>
  </si>
  <si>
    <t xml:space="preserve">Nguyen, H. T., Ariyawardana, A., &amp; Ratnasiri, S. (2020). Forest plantation owners’ willingness to pay for hybrid nursery stock: The case of Acacia hybrids in Central Vietnam. Forest Policy and Economics, 116. Scopus. </t>
  </si>
  <si>
    <t>https://doi.org/10.1016/j.forpol.2020.102184</t>
  </si>
  <si>
    <t>Value of carbon storage- Baseline 2010 at a social cost of carbon of 31.4 USD/tC</t>
  </si>
  <si>
    <t>Value of carbon storage- Baseline 2010 at a social cost of carbon of 50 USD/tC</t>
  </si>
  <si>
    <t>Value of carbon storage- Baseline 2010 at a social cost of carbon of 80.9 USD/tC</t>
  </si>
  <si>
    <t>Value of carbon storage- State based forest governance at a social cost of carbon of 31.4 USD/tC</t>
  </si>
  <si>
    <t>State based forest governance- state owned organisations manage most of the forestland and forests and focus on forest protection and development</t>
  </si>
  <si>
    <t>Value of carbon storage- Community based forest governance at a social cost of carbon of 50 USD/tC</t>
  </si>
  <si>
    <t>Community-based forest governance- local communities take over the main responsibility in the forestry sector</t>
  </si>
  <si>
    <t>Individual-based forest governance scenario- centred on the privatisation of forests, market-based mechanisms of forest property rights and market-based instruments</t>
  </si>
  <si>
    <t>Value of carbon storage- State based forest governance at a social cost of carbon of 50 USD/tC</t>
  </si>
  <si>
    <t>Value of carbon storage- State based forest governance at a social cost of carbon of 80.9 USD/tC</t>
  </si>
  <si>
    <t>Value of carbon storage- Community based forest governance at a social cost of carbon of 31.4 USD/tC</t>
  </si>
  <si>
    <t>Value of carbon storage- Community based forest governance at a social cost of carbon of 80.9 USD/tC</t>
  </si>
  <si>
    <t>Value of carbon storage- Individual based forest governance at a social cost of carbon of 31.4 USD/tC</t>
  </si>
  <si>
    <t>Value of carbon storage- Individual based forest governance at a social cost of carbon of 50 USD/tC</t>
  </si>
  <si>
    <t>Value of carbon storage- Individual based forest governance at a social cost of carbon of 80.9 USD/tC</t>
  </si>
  <si>
    <t>Hoa Binh hydropower plant, Son La hydopower plant, Lai Chau hydropower plant, Nam Na hydropower plant</t>
  </si>
  <si>
    <t>Total value of water supply for hydropower production for 2020- State based forest governance</t>
  </si>
  <si>
    <t>Total value of water supply for hydropower production for 2020- Community based forest governance</t>
  </si>
  <si>
    <t>Total value of water supply for hydropower production for 2020- Individual based forest governance</t>
  </si>
  <si>
    <t>Lai Chau hydropower plant</t>
  </si>
  <si>
    <t xml:space="preserve">Son La and Hoa Binh hydropower plant </t>
  </si>
  <si>
    <t xml:space="preserve">Nam Na 3 hydropower plant </t>
  </si>
  <si>
    <t>Lai Chau, Son La and Hoa Binh hydropower plant</t>
  </si>
  <si>
    <t>Nguyen, M. D., Ancev, T., &amp; Randall, A.</t>
  </si>
  <si>
    <t xml:space="preserve">Forest governance and economic values of forest ecosystem services in Vietnam. </t>
  </si>
  <si>
    <t xml:space="preserve">Nguyen, M. D., Ancev, T., &amp; Randall, A. (2020). Forest governance and economic values of forest ecosystem services in Vietnam. Land Use Policy, 97. Scopus. </t>
  </si>
  <si>
    <t>https://doi.org/10.1016/j.landusepol.2018.03.028</t>
  </si>
  <si>
    <t>https://doi.org/10.1016/j.landusepol.2018.03.029</t>
  </si>
  <si>
    <t>https://doi.org/10.1016/j.landusepol.2018.03.030</t>
  </si>
  <si>
    <t>https://doi.org/10.1016/j.landusepol.2018.03.031</t>
  </si>
  <si>
    <t>https://doi.org/10.1016/j.landusepol.2018.03.032</t>
  </si>
  <si>
    <t>https://doi.org/10.1016/j.landusepol.2018.03.033</t>
  </si>
  <si>
    <t>https://doi.org/10.1016/j.landusepol.2018.03.034</t>
  </si>
  <si>
    <t>https://doi.org/10.1016/j.landusepol.2018.03.035</t>
  </si>
  <si>
    <t>https://doi.org/10.1016/j.landusepol.2018.03.036</t>
  </si>
  <si>
    <t>https://doi.org/10.1016/j.landusepol.2018.03.037</t>
  </si>
  <si>
    <t>https://doi.org/10.1016/j.landusepol.2018.03.038</t>
  </si>
  <si>
    <t>https://doi.org/10.1016/j.landusepol.2018.03.039</t>
  </si>
  <si>
    <t>https://doi.org/10.1016/j.landusepol.2018.03.040</t>
  </si>
  <si>
    <t>https://doi.org/10.1016/j.landusepol.2018.03.044</t>
  </si>
  <si>
    <t>https://doi.org/10.1016/j.landusepol.2018.03.045</t>
  </si>
  <si>
    <t>https://doi.org/10.1016/j.landusepol.2018.03.046</t>
  </si>
  <si>
    <t>Net present value of reforestation of acacia mangium under the business as usual scenario- 3% interest rate</t>
  </si>
  <si>
    <t>Net present value of reforestation of acacia mangium under the business as usual scenario- 5% interest rate</t>
  </si>
  <si>
    <t>Net present value of reforestation of acacia mangium under the business as usual scenario- 7% interest rate</t>
  </si>
  <si>
    <t>Son La province and Bac Kan province</t>
  </si>
  <si>
    <t xml:space="preserve">Nguyen, T. T., Koellner, T., Le, Q. B., Lambini, C. K., Choi, I., Shin, H.-J., &amp; Pham, V. D. </t>
  </si>
  <si>
    <t>An economic analysis of reforestation with a native tree species: The case of Vietnamese farmers.</t>
  </si>
  <si>
    <t xml:space="preserve">Nguyen, T. T., Koellner, T., Le, Q. B., Lambini, C. K., Choi, I., Shin, H.-J., &amp; Pham, V. D. (2014). An economic analysis of reforestation with a native tree species: The case of Vietnamese farmers. Biodiversity and Conservation, 23(4), 811–830. Scopus. </t>
  </si>
  <si>
    <t>https://doi.org/10.1007/s10531-014-0635-4</t>
  </si>
  <si>
    <t>Xuan Thuy National Park</t>
  </si>
  <si>
    <t>Marginal willingess to pay for an increase in mangrove coverage area from 1661 hectares to 1900 hectares</t>
  </si>
  <si>
    <t>Marginal willingess to pay for an increase in mangrove coverage area from 1661 hectares to 2100 hectares</t>
  </si>
  <si>
    <t>Marginal willlingess to pay for the number of endemic species to increase from 62 to 80</t>
  </si>
  <si>
    <t>Nguyen, T. V., Simioni, M., &amp; Vo, H. T.</t>
  </si>
  <si>
    <t>Valuing Mangrove Conservation Attributes in Red River Delta, Vietnam: A Choice Experiment Approach.</t>
  </si>
  <si>
    <t xml:space="preserve">Nguyen, T. V., Simioni, M., &amp; Vo, H. T. (2022). Valuing Mangrove Conservation Attributes in Red River Delta, Vietnam: A Choice Experiment Approach. Marine Resource Economics, 37(3), 349–368. Scopus. </t>
  </si>
  <si>
    <t>https://doi.org/10.1086/720468</t>
  </si>
  <si>
    <t>Kon Tum Province</t>
  </si>
  <si>
    <t xml:space="preserve">Thua Thien Hue Province  </t>
  </si>
  <si>
    <t>Group forest payement for ecosystem services model</t>
  </si>
  <si>
    <t>Lowest value of community payments ecosystem services model</t>
  </si>
  <si>
    <t>Nguyen, V. T. H., McElwee, P., Le, H. T. V., Nghiem, T., &amp; Vu, H. T. D.</t>
  </si>
  <si>
    <t xml:space="preserve">The challenges of collective PES: Insights from three community-based models in Vietnam. </t>
  </si>
  <si>
    <t xml:space="preserve">Nguyen, V. T. H., McElwee, P., Le, H. T. V., Nghiem, T., &amp; Vu, H. T. D. (2022). The challenges of collective PES: Insights from three community-based models in Vietnam. Ecosystem Services, 56. Scopus. </t>
  </si>
  <si>
    <t>https://doi.org/10.1016/j.ecoser.2022.101438</t>
  </si>
  <si>
    <t xml:space="preserve">Highest value of community payments ecosystem services model </t>
  </si>
  <si>
    <t xml:space="preserve">Lowest price for 8000-10000 seeds/kg of Dalbergia tonkinesis </t>
  </si>
  <si>
    <t xml:space="preserve">Highest price for 8000-10000 seeds/kg of Dalbergia tonkinesis </t>
  </si>
  <si>
    <t>Range</t>
  </si>
  <si>
    <t xml:space="preserve">Lowest price for a Dalbergia tonkinesis 40-50cm high seedlings </t>
  </si>
  <si>
    <t xml:space="preserve">Highest price for a Dalbergia tonkinesis 40-50cm high seedlings </t>
  </si>
  <si>
    <t xml:space="preserve">Lowest price for a Dalbergia tonkinesis 50-100cm high seedlings </t>
  </si>
  <si>
    <t xml:space="preserve">Highest price for a Dalbergia tonkinesis 50-100cm high seedlings </t>
  </si>
  <si>
    <t>USD/seedling</t>
  </si>
  <si>
    <t>USD/tree</t>
  </si>
  <si>
    <t>Lowest price for a small Dalbergia tonkinesis whole tree- 3-4m in height, 6-10cm diameter at breast height</t>
  </si>
  <si>
    <t>Highest price for a small Dalbergia tonkinesis whole tree- 3-4m in height, 6-10cm diameter at breast height</t>
  </si>
  <si>
    <t>Lowest price for a medium Dalbergia tonkinesis  whole tree- 4-6m in height, 10-15cm diameter at breast height</t>
  </si>
  <si>
    <t>Highest price for a small Dalbergia tonkinesis whole tree- 4-6m in height, 10-15cm diameter at breast height</t>
  </si>
  <si>
    <t>Lowest price for a large Dalbergia tonkinesis whole tree- &gt;=6m in height, 15-25cm diameter at breast height</t>
  </si>
  <si>
    <t>Highest price for a large Dalbergia tonkinesis whole tree- &gt;=6m in height, 15-25cm diameter at breast height</t>
  </si>
  <si>
    <t>Highest price for a the root and trunk of a Dalbergia tonkinesis with a diameter of 6-9 cm (10-12 year old)</t>
  </si>
  <si>
    <t>Lowest price for a the root and trunk of a Dalbergia tonkinesis with a diameter of 6-9 cm (10-12 year old)</t>
  </si>
  <si>
    <t>Lowest price for a the root and trunk of a Dalbergia tonkinesis with a diameter of 10-13 cm (13-16 year old)</t>
  </si>
  <si>
    <t>Highest price for a the root and trunk of a Dalbergia tonkinesis with a diameter of 10-13 cm (13-16 year old)</t>
  </si>
  <si>
    <t>Lowest price for a the root and trunk of a Dalbergia tonkinesis with a diameter of 14-19 cm (17-19 year old)</t>
  </si>
  <si>
    <t>Highest price for a the root and trunk of a Dalbergia tonkinesis with a diameter of 14-19 cm (17-19 year old)</t>
  </si>
  <si>
    <t>Price for a the root and trunk of a Dalbergia tonkinesis with a diameter of &gt;=20 cm (&gt;= 20 year old)</t>
  </si>
  <si>
    <t>Nhung, N. P., Chi, N. M., Thu, P. Q., Thuong, B. H., Ban, D. V., &amp; Dell, B.</t>
  </si>
  <si>
    <t>Market and policy setting for the trade in Dalbergia tonkinensis, a rare and valuable rosewood, in Vietnam.</t>
  </si>
  <si>
    <t>Nhung, N. P., Chi, N. M., Thu, P. Q., Thuong, B. H., Ban, D. V., &amp; Dell, B. (2020). Market and policy setting for the trade in Dalbergia tonkinensis, a rare and valuable rosewood, in Vietnam. Trees, Forests and People, 1. Scopus.</t>
  </si>
  <si>
    <t>https://doi.org/10.1016/j.tfp.2020.100002</t>
  </si>
  <si>
    <t>Ba Be district</t>
  </si>
  <si>
    <t>Na Ri district</t>
  </si>
  <si>
    <t>Willingness to accept for Scenario 2- Contract to abstain from logging a plantation. Respondents would be required to abstain from logging a plot with planted trees of an optimal logging age (regardless of whether or not they entered into the previous contract)</t>
  </si>
  <si>
    <t xml:space="preserve">Willingess to accept for scenario 3- Contract to refrain from logging mature indigenous hardwood trees on their land. The contract required respondents to refrain from cutting any trees from a plot with a mix of indigenous hardwood tree species. In this scenario, there were no legal restrictions on logging indigenous hardwood species.
contrary to reality where this is prohibited by national law. </t>
  </si>
  <si>
    <t>Nielsen, M. R., Theilade, I., Meilby, H., Nui, N. H., &amp; Lam, N. T.</t>
  </si>
  <si>
    <t xml:space="preserve"> Can PES and REDD+ match Willingness To Accept payments in contracts for reforestation and avoided forest degradation? The case of farmers in upland Bac Kan, Vietnam. </t>
  </si>
  <si>
    <t xml:space="preserve">Nielsen, M. R., Theilade, I., Meilby, H., Nui, N. H., &amp; Lam, N. T. (2018). Can PES and REDD+ match Willingness To Accept payments in contracts for reforestation and avoided forest degradation? The case of farmers in upland Bac Kan, Vietnam. Land Use Policy, 79, 822–833. </t>
  </si>
  <si>
    <t>https://doi.org/10.1016/j.landusepol.2018.09.010</t>
  </si>
  <si>
    <t>Table 5, Table 6, Table 11</t>
  </si>
  <si>
    <t>Expected net returns from reservoir aquaculture</t>
  </si>
  <si>
    <t>VND/reservoir/ha/yr</t>
  </si>
  <si>
    <t>Simulation model of the biology and economics of farmer managed reservoir aquaculture. Could not find year of validation</t>
  </si>
  <si>
    <t>Petersen, E., &amp; Schilizzi, S.</t>
  </si>
  <si>
    <t>The impact of price and yield risk on the bioeconomics of reservoir aquaculture in Northern Vietnam.</t>
  </si>
  <si>
    <t>Petersen, E., &amp; Schilizzi, S. (2010). The impact of price and yield risk on the bioeconomics of reservoir aquaculture in Northern Vietnam. Aquaculture Economics and Management, 14(3), 185–201. Scopus.</t>
  </si>
  <si>
    <t>https://doi.org/10.1080/13657305.2010.503466</t>
  </si>
  <si>
    <t>Cu M'gar district, Krong Nang district, Krong Pak district and Cu Kuin district</t>
  </si>
  <si>
    <t xml:space="preserve">Willingness to pay for coffee farmer for an increase in environmental benefits from sustainable agricultural practices- Medium </t>
  </si>
  <si>
    <t>Willingness to pay for coffee farmer for an increase in environmental benefits from sustainable agricultural practices- High</t>
  </si>
  <si>
    <t>Pham, H.-G., Chuah, S.-H., &amp; Feeny, S.</t>
  </si>
  <si>
    <t>Coffee farmer preferences for sustainable agricultural practices: Findings from discrete choice experiments in Vietnam.</t>
  </si>
  <si>
    <t xml:space="preserve">Pham, H.-G., Chuah, S.-H., &amp; Feeny, S. (2022). Coffee farmer preferences for sustainable agricultural practices: Findings from discrete choice experiments in Vietnam. Journal of Environmental Management, 318. Scopus. </t>
  </si>
  <si>
    <t>https://doi.org/10.1016/j.jenvman.2022.115627</t>
  </si>
  <si>
    <t xml:space="preserve">Average farm size- 1.1019 ha, 305 farmers in the sample. Could not find year of validation </t>
  </si>
  <si>
    <t xml:space="preserve">Tam Giang-Cau Hai wetland lagoon </t>
  </si>
  <si>
    <t>Direct market pricing and benefit transfer</t>
  </si>
  <si>
    <t>Value of aquaculture</t>
  </si>
  <si>
    <t>Value of seagrass</t>
  </si>
  <si>
    <t>Value of capture fishery</t>
  </si>
  <si>
    <t>Value of agriculture activities</t>
  </si>
  <si>
    <t>Value of tourism</t>
  </si>
  <si>
    <t>Value of water purification</t>
  </si>
  <si>
    <t>Value of biodiversity</t>
  </si>
  <si>
    <t>Total economic value of the lagoon</t>
  </si>
  <si>
    <t>Pham, H. C., Le, H. T., &amp; Nguyen, M. D.</t>
  </si>
  <si>
    <t xml:space="preserve">Informing wetland management: An economic valuation of tam giang-Cau Hai Lagoon, Vietnam. </t>
  </si>
  <si>
    <t>Pham, H. C., Le, H. T., &amp; Nguyen, M. D. (2020). Informing wetland management: An economic valuation of tam giang-Cau Hai Lagoon, Vietnam. International Journal of Innovation, Creativity and Change, 13(6), 325–344. Scopus.</t>
  </si>
  <si>
    <t>Food [other]</t>
  </si>
  <si>
    <t>Willingness to pay for farmers for certified aromatic jasmine rice seed without extra information about the rice</t>
  </si>
  <si>
    <t>Willingness to pay for farmers for certified aromatic jasmine 95 rice seed with extra information about the rice</t>
  </si>
  <si>
    <t>Willingness to pay for farmers for certified aromatic RVT rice seed without extra information about the rice</t>
  </si>
  <si>
    <t>Willingness to pay for farmers for certified aromatic RVT 95 rice seed with extra information about the rice</t>
  </si>
  <si>
    <t>Willingness to pay for farmers for certified aromatic Nang Hoa 9 rice seed without extra information about the rice</t>
  </si>
  <si>
    <t>Willingness to pay for farmers for certified aromatic Nang Hoa 9 rice seed with extra information about the rice</t>
  </si>
  <si>
    <t>With information- information about germination rate, foreign materials, weed grain, moisture and genetic purity or percentage of other variety seed</t>
  </si>
  <si>
    <t>Pham, N. T., &amp; Napasintuwong, O.</t>
  </si>
  <si>
    <t xml:space="preserve">Farmers’ Adoption and Willingness to Pay for Certified Aromatic Rice Seed in the Mekong River Delta, Vietnam. </t>
  </si>
  <si>
    <t xml:space="preserve">Pham, N. T., &amp; Napasintuwong, O. (2019). Farmers’ Adoption and Willingness to Pay for Certified Aromatic Rice Seed in the Mekong River Delta, Vietnam. International Journal of Agricultural Management, 8(4), 149–157. Scopus. </t>
  </si>
  <si>
    <t>https://doi.org/10.5836/ijam/2020-08-149</t>
  </si>
  <si>
    <t>Cat Ba biosphere reserve</t>
  </si>
  <si>
    <t>Page 275, Section 4.4</t>
  </si>
  <si>
    <t>Service area calculated with willingness to pay per year and willingness to pay per hectare</t>
  </si>
  <si>
    <t>Willingness to pay for households for mangrove restoration per hectare</t>
  </si>
  <si>
    <t>Pham, T. D., Kaida, N., Yoshino, K., Nguyen, X. H., Nguyen, H. T., &amp; Bui, D. T.</t>
  </si>
  <si>
    <t>Willingness to pay for mangrove restoration in the context of climate change in the Cat Ba biosphere reserve, Vietnam.</t>
  </si>
  <si>
    <t xml:space="preserve">Pham, T. D., Kaida, N., Yoshino, K., Nguyen, X. H., Nguyen, H. T., &amp; Bui, D. T. (2018). Willingness to pay for mangrove restoration in the context of climate change in the Cat Ba biosphere reserve, Vietnam. Ocean and Coastal Management, 163, 269–277. Scopus. </t>
  </si>
  <si>
    <t>https://doi.org/10.1016/j.ocecoaman.2018.07.005</t>
  </si>
  <si>
    <t>Cat Tien National Park</t>
  </si>
  <si>
    <t>Payment for forest protection contract for days worked patrolling the forest- Lower range</t>
  </si>
  <si>
    <t>Payment for forest protection contract for days worked patrolling the forest- Higher range</t>
  </si>
  <si>
    <t>VND/village/yr</t>
  </si>
  <si>
    <t>Dong Nai Province</t>
  </si>
  <si>
    <t>Pham, T. T., Nguyen, T. D., Dao, C. T. L., Hoang, L. T., Pham, L. H., Nguyen, L. T., &amp; Tran, B. K.</t>
  </si>
  <si>
    <t>Impacts of payment for forest environmental services in Cat Tien national park.</t>
  </si>
  <si>
    <t xml:space="preserve">Pham, T. T., Nguyen, T. D., Dao, C. T. L., Hoang, L. T., Pham, L. H., Nguyen, L. T., &amp; Tran, B. K. (2021). Impacts of payment for forest environmental services in Cat Tien national park. Forests, 12(7). Scopus. </t>
  </si>
  <si>
    <t>https://doi.org/10.3390/f12070921</t>
  </si>
  <si>
    <t>Binh Phuoc Province</t>
  </si>
  <si>
    <t>Payment for forest ecosystem services</t>
  </si>
  <si>
    <t>Da Nhim hydropower plant and Xong Pha hydropower plant</t>
  </si>
  <si>
    <t>Average area of forested land assigned to a households is 28.2ha</t>
  </si>
  <si>
    <t>Phan, T.-H. D., Brouwer, R., Hoang, L. P., &amp; Davidson, M. D.</t>
  </si>
  <si>
    <t xml:space="preserve">Do payments for forest ecosystem services generate double dividends? An integrated impact assessment of Vietnam’s PES program. </t>
  </si>
  <si>
    <t xml:space="preserve">Phan, T.-H. D., Brouwer, R., Hoang, L. P., &amp; Davidson, M. D. (2018). Do payments for forest ecosystem services generate double dividends? An integrated impact assessment of Vietnam’s PES program. PLoS ONE, 13(8). Scopus. </t>
  </si>
  <si>
    <t>https://doi.org/10.1371/journal.pone.0200881</t>
  </si>
  <si>
    <t>Ta Xua special use forests</t>
  </si>
  <si>
    <t>Page 76, Results</t>
  </si>
  <si>
    <t>Xuan Nha special use forests</t>
  </si>
  <si>
    <t>Payment for forest protection to villages</t>
  </si>
  <si>
    <t>Phan, T. T., Nguyen, L. T., &amp; Pham, N. T.</t>
  </si>
  <si>
    <t>Comparing the effectiveness between Payment for Environmental Services (PES) and a local compensation system on conservation of special-use forests, Son La Province, Vietnam.</t>
  </si>
  <si>
    <t>Phan, T. T., Nguyen, L. T., &amp; Pham, N. T. (2016). Comparing the effectiveness between Payment for Environmental Services (PES) and a local compensation system on conservation of special-use forests, Son La Province, Vietnam. Tropicultura, 34(Specialissue), 74–85. Scopus.</t>
  </si>
  <si>
    <t>Per capita cash income from annual crops</t>
  </si>
  <si>
    <t>Per capita cash income from plantations</t>
  </si>
  <si>
    <t>Per capita cash income from home gardens</t>
  </si>
  <si>
    <t>Per capita cash income from livestock</t>
  </si>
  <si>
    <t>Per capita cash income from fishing from local rivers</t>
  </si>
  <si>
    <t>Per capita cash income from forest products excluding timber (NTFPs)</t>
  </si>
  <si>
    <t>VND/3.12ha/yr</t>
  </si>
  <si>
    <t>Mean farm size- 3.12ha</t>
  </si>
  <si>
    <t>Phong Dien Nature Reserve- Buffer zone area</t>
  </si>
  <si>
    <t>Phong Dien Nature Reserve- Central area</t>
  </si>
  <si>
    <t>Mean farm size- 0.83</t>
  </si>
  <si>
    <t>Polesny, Z., Verner, V., Vlkova, M., Banout, J., Lojka, B., Valicek, P., &amp; Mazancova, J.</t>
  </si>
  <si>
    <t>Non-timber forest products utilization in Phong Dien Nature Reserve, Vietnam: Who collects, who consumes, who sells?</t>
  </si>
  <si>
    <t>Polesny, Z., Verner, V., Vlkova, M., Banout, J., Lojka, B., Valicek, P., &amp; Mazancova, J. (2014). Non-timber forest products utilization in Phong Dien Nature Reserve, Vietnam: Who collects, who consumes, who sells? Bois et Forets Des Tropiques, 68(322), 39–49. Scopus.</t>
  </si>
  <si>
    <t>https://doi.org/10.19182/bft2014.322.a31233</t>
  </si>
  <si>
    <t>Quong Trach District</t>
  </si>
  <si>
    <t>Price for pomfret-Low range</t>
  </si>
  <si>
    <t>Price for codfish-High range</t>
  </si>
  <si>
    <t>Page 232</t>
  </si>
  <si>
    <t>Price for groundnuts</t>
  </si>
  <si>
    <t>Page 234</t>
  </si>
  <si>
    <t>Quan, T. T., &amp; Woodford, K. B.</t>
  </si>
  <si>
    <t xml:space="preserve"> Agricultural value chains and commercial transition in Quang Binh Province, Vietnam. </t>
  </si>
  <si>
    <t xml:space="preserve">Quan, T. T., &amp; Woodford, K. B. (2011). Agricultural value chains and commercial transition in Quang Binh Province, Vietnam. Acta Horticulturae, 895, 229–237. Scopus. </t>
  </si>
  <si>
    <t>https://doi.org/10.17660/ActaHortic.2011.895.28</t>
  </si>
  <si>
    <t>Khe Kien, Tuong Duong district</t>
  </si>
  <si>
    <t>Quang, N. V., &amp; Noriko, S.</t>
  </si>
  <si>
    <t xml:space="preserve">Forest allocation policy and level of forest dependency of economic household groups: A case study in northern central Vietnam. </t>
  </si>
  <si>
    <t xml:space="preserve">Quang, N. V., &amp; Noriko, S. (2008). Forest allocation policy and level of forest dependency of economic household groups: A case study in northern central Vietnam. Small-Scale Forestry, 7(1), 49–66. Scopus. </t>
  </si>
  <si>
    <t>https://doi.org/10.1007/s11842-008-9040-8</t>
  </si>
  <si>
    <t>Plantations</t>
  </si>
  <si>
    <t xml:space="preserve">Wood chip exports </t>
  </si>
  <si>
    <t>Page 2</t>
  </si>
  <si>
    <t>Sadanandan Nambiar, E. K.</t>
  </si>
  <si>
    <t>Strengthening Vietnam’s forestry sectors and rural development: Higher productivity, value, and access to fairer markets are needed to support small forest growers.</t>
  </si>
  <si>
    <t xml:space="preserve">Sadanandan Nambiar, E. K. (2021). Strengthening Vietnam’s forestry sectors and rural development: Higher productivity, value, and access to fairer markets are needed to support small forest growers. Trees, Forests and People, 3. Scopus. </t>
  </si>
  <si>
    <t>https://doi.org/10.1016/j.tfp.2020.100052</t>
  </si>
  <si>
    <t>Profit per hectare for Acacia, Chukrasia, Tarrietia, Hopea plantation</t>
  </si>
  <si>
    <t>Profit per hectare for combination of Acacia, Sindora, Dipterocarpis plantation</t>
  </si>
  <si>
    <t>Profit per hectare for Acacia plantation</t>
  </si>
  <si>
    <t>Phong My</t>
  </si>
  <si>
    <t xml:space="preserve">Šálek, L., &amp; Sloup, R. </t>
  </si>
  <si>
    <t>Economic evaluation of proposed pure and mixed stands in Central Vietnam highlands.</t>
  </si>
  <si>
    <t>Šálek, L., &amp; Sloup, R. (2012). Economic evaluation of proposed pure and mixed stands in Central Vietnam highlands. Journal of Agriculture and Rural Development in the Tropics and Subtropics, 113(1), 21–29. Scopus.</t>
  </si>
  <si>
    <t>Value of harvested agricultural output</t>
  </si>
  <si>
    <t>Value of timber- Low range</t>
  </si>
  <si>
    <t>Value of timber- High range</t>
  </si>
  <si>
    <t>Dak Lak</t>
  </si>
  <si>
    <t>95 households</t>
  </si>
  <si>
    <t>96 households. Range.</t>
  </si>
  <si>
    <t>97 households. Range.</t>
  </si>
  <si>
    <t>Sikor, T., &amp; Nguyen, T. Q.</t>
  </si>
  <si>
    <t xml:space="preserve">Why May Forest Devolution Not Benefit the Rural Poor? Forest Entitlements in Vietnam’s Central Highlands. </t>
  </si>
  <si>
    <t xml:space="preserve">Sikor, T., &amp; Nguyen, T. Q. (2007). Why May Forest Devolution Not Benefit the Rural Poor? Forest Entitlements in Vietnam’s Central Highlands. World Development, 35(11), 2010–2025. Scopus. </t>
  </si>
  <si>
    <t>https://doi.org/10.1016/j.worlddev.2006.11.011</t>
  </si>
  <si>
    <t>Soctrang province</t>
  </si>
  <si>
    <t>Net income from intensive black tiger prawn farming- Dry season from December to May</t>
  </si>
  <si>
    <t>Net income from intensive black tiger prawn farming-Wet season from June to November</t>
  </si>
  <si>
    <t xml:space="preserve">Son, V. N., Phuong, N. T., Hai, T. N., &amp; Yakupitiyage, A. </t>
  </si>
  <si>
    <t xml:space="preserve"> Production and economic efficiencies of intensive black tiger prawn (Penaeus monodon) culture during different cropping seasons in the Mekong delta, Vietnam.</t>
  </si>
  <si>
    <t xml:space="preserve">Son, V. N., Phuong, N. T., Hai, T. N., &amp; Yakupitiyage, A. (2011). Production and economic efficiencies of intensive black tiger prawn (Penaeus monodon) culture during different cropping seasons in the Mekong delta, Vietnam. Aquaculture International, 19(3), 555–566. Scopus. </t>
  </si>
  <si>
    <t>https://doi.org/10.1007/s10499-010-9371-2</t>
  </si>
  <si>
    <t>Cham Chu Nature Reserve</t>
  </si>
  <si>
    <t>Ecosystem service value- Water supply</t>
  </si>
  <si>
    <t xml:space="preserve">Ecosystem service value- Food production </t>
  </si>
  <si>
    <t>Ecosystem service value- Raw material</t>
  </si>
  <si>
    <t>Ecosystem service value- Genetic resources</t>
  </si>
  <si>
    <t>Ecosystem service value- Water regulation</t>
  </si>
  <si>
    <t>Ecosystem service value- Waste treatment</t>
  </si>
  <si>
    <t>Ecosystem service value- Erosion control</t>
  </si>
  <si>
    <t>Ecosystem service value- Climate regulation</t>
  </si>
  <si>
    <t>Ecosystem service value- Biological control</t>
  </si>
  <si>
    <t>Ecosystem service value- Gas regulation</t>
  </si>
  <si>
    <t>Ecosystem service value- Disturbance regulation</t>
  </si>
  <si>
    <t>Ecosystem service value- Nutrient cycling</t>
  </si>
  <si>
    <t>Ecosystem service value- Pollination</t>
  </si>
  <si>
    <t>Ecosystem service value- Soil formation</t>
  </si>
  <si>
    <t xml:space="preserve">Ecosystem service value-Recreation </t>
  </si>
  <si>
    <t>Ecosystem service value- Cultural</t>
  </si>
  <si>
    <t>Ecosystem service value- Total</t>
  </si>
  <si>
    <t>Ecosystem service value- Forest land</t>
  </si>
  <si>
    <t>Ecosystem service value- Bush</t>
  </si>
  <si>
    <t>Ecosystem service value- Bareland</t>
  </si>
  <si>
    <t>Ecosystem service value- Cropland</t>
  </si>
  <si>
    <t>Ecosystem service value- Water body</t>
  </si>
  <si>
    <t xml:space="preserve">Son, V. T., Anh, L. T., Truong, D. M., Ly, T. D., &amp; Sun, J. </t>
  </si>
  <si>
    <t>Evaluation of Ecosystem Service Changes due to Land Use and Land Cover Dynamics in Cham Chu Nature Reserve.</t>
  </si>
  <si>
    <t xml:space="preserve">Son, V. T., Anh, L. T., Truong, D. M., Ly, T. D., &amp; Sun, J. (2022). Evaluation of Ecosystem Service Changes due to Land Use and Land Cover Dynamics in Cham Chu Nature Reserve. Environment and Natural Resources Journal, 20(1), 73–88. Scopus. </t>
  </si>
  <si>
    <t>https://doi.org/10.32526/ennrj/20/202100131</t>
  </si>
  <si>
    <t>Price of a slow loris</t>
  </si>
  <si>
    <t>Page 52</t>
  </si>
  <si>
    <t>Thach, H. M., Le, M. D., Vũ, N. B., Panariello, A., Sethi, G., Sterling, E. J., &amp; Blair, M. E.</t>
  </si>
  <si>
    <t xml:space="preserve"> Slow Loris Trade in Vietnam: Exploring Diverse Knowledge and Values. </t>
  </si>
  <si>
    <t xml:space="preserve">Thach, H. M., Le, M. D., Vũ, N. B., Panariello, A., Sethi, G., Sterling, E. J., &amp; Blair, M. E. (2018). Slow Loris Trade in Vietnam: Exploring Diverse Knowledge and Values. Folia Primatologica, 89(1), 45–62. Scopus. </t>
  </si>
  <si>
    <t>https://doi.org/10.1159/000481196</t>
  </si>
  <si>
    <t>Chau Thanh district, Tra Vinh province</t>
  </si>
  <si>
    <t>Organic rice profit</t>
  </si>
  <si>
    <t>Inorganic rice profit</t>
  </si>
  <si>
    <t>Thanh, N. C., &amp; Van, T. T. T.</t>
  </si>
  <si>
    <t xml:space="preserve">Linking Farmers and Businesses in Integrated Organic Rice and Shrimp Farming—The Best Way for Enhancing Farmer’s Income and Sustainable Agriculture Development. </t>
  </si>
  <si>
    <t>Thanh, N. C., &amp; Van, T. T. T. (2019). Linking Farmers and Businesses in Integrated Organic Rice and Shrimp Farming—The Best Way for Enhancing Farmer’s Income and Sustainable Agriculture Development. Journal of Agricultural Extension, 3(1), 58–66. Scopus</t>
  </si>
  <si>
    <t>https://doi.org/10.22377/AEXTJ.V3I1.135</t>
  </si>
  <si>
    <t>Dak Lak province</t>
  </si>
  <si>
    <t>Duk Village, Tra Vinh province</t>
  </si>
  <si>
    <t>Nang village, Tra Ving province</t>
  </si>
  <si>
    <t>Hoang village, Tra Vinh province</t>
  </si>
  <si>
    <t>M'o village, Tra Vinh province</t>
  </si>
  <si>
    <t>Ea cho village, Tra Vinh province</t>
  </si>
  <si>
    <t>Hang Niam village, Tra Vinh province</t>
  </si>
  <si>
    <t>Kieu village, Tra Vinh province</t>
  </si>
  <si>
    <t>Kuanh village, Tra Vinh province</t>
  </si>
  <si>
    <t xml:space="preserve">Payments for forest ecosystem services </t>
  </si>
  <si>
    <t>Con Cuong District, Nghe An Province</t>
  </si>
  <si>
    <t>Annual crop income- REDD+ participants</t>
  </si>
  <si>
    <t>Livestock income- REDD+ participants</t>
  </si>
  <si>
    <t>Income from forest- REDD+ participants</t>
  </si>
  <si>
    <t>Income from REDD+ payment</t>
  </si>
  <si>
    <t>Tien, N. D., Rañola, R. F., &amp; Thuy, P. T.</t>
  </si>
  <si>
    <t>Potential impact of the REDD+ program on poverty reduction in Nghe an province, Vietnam.</t>
  </si>
  <si>
    <t xml:space="preserve">Tien, N. D., Rañola, R. F., &amp; Thuy, P. T. (2017). Potential impact of the REDD+ program on poverty reduction in Nghe an province, Vietnam. Forests, 8(10). Scopus. </t>
  </si>
  <si>
    <t>https://doi.org/10.3390/f8100376</t>
  </si>
  <si>
    <t>Estimate of income generated from payments for ecosystem services from 2006- 2015</t>
  </si>
  <si>
    <t>Estimate of income generated from payments for ecosystem services by 2006-2020</t>
  </si>
  <si>
    <t>Page 586, Section 5</t>
  </si>
  <si>
    <t>Average payment for ecosystem services to 355000 households</t>
  </si>
  <si>
    <t xml:space="preserve">To, P., &amp; Dressler, W. </t>
  </si>
  <si>
    <t xml:space="preserve">Rethinking 'success’: The politics of payment for forest ecosystem services in Vietnam. </t>
  </si>
  <si>
    <t xml:space="preserve">To, P., &amp; Dressler, W. (2019). Rethinking 'success’: The politics of payment for forest ecosystem services in Vietnam. Land Use Policy, 81, 582–593. Scopus. </t>
  </si>
  <si>
    <t>https://doi.org/10.1016/j.landusepol.2018.11.010</t>
  </si>
  <si>
    <t xml:space="preserve">Ba Vi National Park </t>
  </si>
  <si>
    <t xml:space="preserve">Annual payment for forest protection </t>
  </si>
  <si>
    <t>Annual payment for forest planting</t>
  </si>
  <si>
    <t>Page 242</t>
  </si>
  <si>
    <t xml:space="preserve">Annual payments for water regulation </t>
  </si>
  <si>
    <t>Annual payments for soil protection</t>
  </si>
  <si>
    <t>Annual payments for scenic landscape values</t>
  </si>
  <si>
    <t>Page 244</t>
  </si>
  <si>
    <t xml:space="preserve">Revenue for payments for ecosystem services </t>
  </si>
  <si>
    <t xml:space="preserve">To, P. X., Dressler, W. H., Mahanty, S., Pham, T. T., &amp; Zingerli, C. </t>
  </si>
  <si>
    <t>The Prospects for payment for ecosystem services (PES) in Vietnam: A Look at three payment schemes.</t>
  </si>
  <si>
    <t>To, P. X., Dressler, W. H., Mahanty, S., Pham, T. T., &amp; Zingerli, C. (2012). The Prospects for payment for ecosystem services (PES) in Vietnam: A Look at three payment schemes. Human Ecology, 40(2), 237–249. Scopus.</t>
  </si>
  <si>
    <t>https://doi.org/10.1007/s10745-012-9480-9</t>
  </si>
  <si>
    <t>Total income from farming shrimp and mud crabs in an integrated shrimp-mangrove system- Mangrove age 2-4</t>
  </si>
  <si>
    <t>Total income from farming shrimp and mud crabs in an integrated shrimp-mangrove system- Mangrove age 5-7</t>
  </si>
  <si>
    <t>Total income from farming shrimp and mud crabs in an integrated shrimp-mangrove system- Mangrove age 9-12</t>
  </si>
  <si>
    <t>Total profit from farming shrimp and mud crabs in an integrated shrimp-mangrove system- Mangrove age 2-4</t>
  </si>
  <si>
    <t>Total profit from farming shrimp and mud crabs in an integrated shrimp-mangrove system- Mangrove age 5-7</t>
  </si>
  <si>
    <t>Total profit from farming shrimp and mud crabs in an integrated shrimp-mangrove system- Mangrove age 9-12</t>
  </si>
  <si>
    <t>Total income from farming shrimp and mud crabs in an integrated shrimp-mangrove system- Mangrove age &gt;=12</t>
  </si>
  <si>
    <t>Total profit from farming shrimp and mud crabs in an integrated shrimp-mangrove system- Mangrove age &gt;12</t>
  </si>
  <si>
    <t>Lam Hai commune, Ca Mau Province</t>
  </si>
  <si>
    <t>Service area calculated by multiplying total area of mangrove by the number of farms in Table 3</t>
  </si>
  <si>
    <t>Trang, N. T. D., Ashton, E. C., Tung, N. C. T., Thanh, N. H., Cong, N. V., Nam, T. S., Thuan, N. C., Khanh, H. C., Duy, N. P., &amp; Truong, N. N.</t>
  </si>
  <si>
    <t xml:space="preserve">Trang, N. T. D., Ashton, E. C., Tung, N. C. T., Thanh, N. H., Cong, N. V., Nam, T. S., Thuan, N. C., Khanh, H. C., Duy, N. P., &amp; Truong, N. N. (2022). Shrimp farmers perceptions on factors affecting shrimp productivity in integrated mangrove-shrimp systems in Ca Mau, Vietnam. Ocean and Coastal Management, 219. Scopus. </t>
  </si>
  <si>
    <t>https://doi.org/10.1016/j.ocecoaman.2022.106048</t>
  </si>
  <si>
    <t>Hoa Bin power plant, Muong Nhe Protected Area</t>
  </si>
  <si>
    <t>Son La power plant, Muong Nhe Protected Area</t>
  </si>
  <si>
    <t>Lai Chau power plant, Muong Nhe Protected Area</t>
  </si>
  <si>
    <t>Vinaconex clean water companu, Muong Nhe Protected Area</t>
  </si>
  <si>
    <t>Payments for forest ecosystem services to protect soil, limit erosion and sedimentation of lake, river, and stream beds</t>
  </si>
  <si>
    <t>Regulating and maintaining water water sources for production and social life</t>
  </si>
  <si>
    <t>Truong, D. D.</t>
  </si>
  <si>
    <t xml:space="preserve">Impacts of payment for forest environmental service policy in Vietnam: A case study of Muong Nhe protected area. </t>
  </si>
  <si>
    <t>Shrimp farmers perceptions on factors affecting shrimp productivity in integrated mangrove-shrimp systems in Ca Mau, Vietnam.</t>
  </si>
  <si>
    <t xml:space="preserve">Truong, D. D. (2022). Impacts of payment for forest environmental service policy in Vietnam: A case study of Muong Nhe protected area. Trees, Forests and People, 7. Scopus. </t>
  </si>
  <si>
    <t>https://doi.org/10.1016/j.tfp.2022.100198</t>
  </si>
  <si>
    <t>Thi Nai Lagoon</t>
  </si>
  <si>
    <t xml:space="preserve">Willingness to pay for mangrove restoration </t>
  </si>
  <si>
    <t>Page 206, Section 4.4.1</t>
  </si>
  <si>
    <t xml:space="preserve">Tuan, T. H., My, N. H. D., Anh, L. T. Q., &amp; Toan, N. V. </t>
  </si>
  <si>
    <t xml:space="preserve">Using contingent valuation method to estimate the WTP for mangrove restoration under the context of climate change: A case study of Thi Nai lagoon, Quy Nhon city, Vietnam. </t>
  </si>
  <si>
    <t xml:space="preserve">Tuan, T. H., My, N. H. D., Anh, L. T. Q., &amp; Toan, N. V. (2014). Using contingent valuation method to estimate the WTP for mangrove restoration under the context of climate change: A case study of Thi Nai lagoon, Quy Nhon city, Vietnam. Ocean and Coastal Management, 95, 198–212. Scopus. </t>
  </si>
  <si>
    <t>https://doi.org/10.1016/j.ocecoaman.2014.04.008</t>
  </si>
  <si>
    <t>Total benefits from aquaculture</t>
  </si>
  <si>
    <t>Total benefits from  capture fisheries</t>
  </si>
  <si>
    <t>Total benefits from rice crop</t>
  </si>
  <si>
    <t>Total benefits from aquatic poultry farming</t>
  </si>
  <si>
    <t xml:space="preserve">Total benefits from sea grass collection </t>
  </si>
  <si>
    <t>Net benefits from aquaculture</t>
  </si>
  <si>
    <t>Net benefits from  capture fisheries</t>
  </si>
  <si>
    <t>Net benefits from rice crop</t>
  </si>
  <si>
    <t>Net benefits from aquatic poultry farming</t>
  </si>
  <si>
    <t xml:space="preserve">Net benefits from sea grass collection </t>
  </si>
  <si>
    <t>Total benefit values per hectare</t>
  </si>
  <si>
    <t>Total net benefit values per hectare</t>
  </si>
  <si>
    <t>Service area calculated by dividing total benefits by per hectare benefits from Table 12</t>
  </si>
  <si>
    <t>Tuan, T. H., Van Xuan, M., Nam, D., &amp; Navrud, S.</t>
  </si>
  <si>
    <t xml:space="preserve">Valuing direct use values of wetlands: A case study of Tam Giang-Cau Hai lagoon wetland in Vietnam. </t>
  </si>
  <si>
    <t xml:space="preserve">Tuan, T. H., Van Xuan, M., Nam, D., &amp; Navrud, S. (2009). Valuing direct use values of wetlands: A case study of Tam Giang-Cau Hai lagoon wetland in Vietnam. Ocean and Coastal Management, 52(2), 102–112. Scopus. </t>
  </si>
  <si>
    <t>https://doi.org/10.1016/j.ocecoaman.2008.10.011</t>
  </si>
  <si>
    <t>105° 35′ E.</t>
  </si>
  <si>
    <t xml:space="preserve">19° 40′ N </t>
  </si>
  <si>
    <t>Ben En National  Park</t>
  </si>
  <si>
    <t>Medicinal plants</t>
  </si>
  <si>
    <t>Van Hoang, S., Baas, P., &amp; Keßler, P. J. A.</t>
  </si>
  <si>
    <t>Uses and conservation of plant species in a national park—A case study of Ben En, Vietnam.</t>
  </si>
  <si>
    <t xml:space="preserve">Van Hoang, S., Baas, P., &amp; Keßler, P. J. A. (2008). Uses and conservation of plant species in a national park—A case study of Ben En, Vietnam. Economic Botany, 62(4), 574–593. Scopus. </t>
  </si>
  <si>
    <t>https://doi.org/10.1007/s12231-008-9056-1</t>
  </si>
  <si>
    <t>Duong Hamlet, Hoang Tri Commune</t>
  </si>
  <si>
    <t xml:space="preserve">Vien, T. D., Son, C. T., Dung, N. T. T., &amp; Lam, N. T. </t>
  </si>
  <si>
    <t>A Voluntary Model of Payment for Environmental Services: Lessons from Ba Be District, Bac Kan Province of Vietnam.</t>
  </si>
  <si>
    <t xml:space="preserve">Vien, T. D., Son, C. T., Dung, N. T. T., &amp; Lam, N. T. (2017). A Voluntary Model of Payment for Environmental Services: Lessons from Ba Be District, Bac Kan Province of Vietnam. In Redefining Diversity and Dynamics of Natural Resources Management in Asia (Vol. 2, pp. 63–74). Scopus. </t>
  </si>
  <si>
    <t>https://doi.org/10.1016/B978-0-12-805453-6.00005-X</t>
  </si>
  <si>
    <t>Page 69, Section 5.4.3</t>
  </si>
  <si>
    <t>Cho Mai district, Na Ri district and Mai Son district, Son La and Bac Kan Province</t>
  </si>
  <si>
    <t>Service area calculated with allocated forest area* number of households in Table 1</t>
  </si>
  <si>
    <t xml:space="preserve">Nguyen, T. T., &amp; Nghiem, N. </t>
  </si>
  <si>
    <t>Optimal forest rotation for carbon sequestration and biodiversity conservation by farm income levels.</t>
  </si>
  <si>
    <t xml:space="preserve">Nguyen, T. T., &amp; Nghiem, N. (2016). Optimal forest rotation for carbon sequestration and biodiversity conservation by farm income levels. Forest Policy and Economics, 73, 185–194. Scopus. </t>
  </si>
  <si>
    <t>https://doi.org/10.1016/j.forpol.2016.09.014</t>
  </si>
  <si>
    <t xml:space="preserve">Cost to restore soil erosion control </t>
  </si>
  <si>
    <t xml:space="preserve">Cost to improve soil fertility </t>
  </si>
  <si>
    <t xml:space="preserve">Cost to control flooding </t>
  </si>
  <si>
    <t xml:space="preserve">Cost to control pests and diseases </t>
  </si>
  <si>
    <t xml:space="preserve">Value from paper given per acre. Value multiplied by 2.47105 to get per hectare value. </t>
  </si>
  <si>
    <t>ESService Type</t>
  </si>
  <si>
    <t>Provisioning</t>
  </si>
  <si>
    <t>Regulating</t>
  </si>
  <si>
    <t>Habitat</t>
  </si>
  <si>
    <t>Additional and General</t>
  </si>
  <si>
    <t xml:space="preserve">Total willingness to pay for reliable domestic water supply </t>
  </si>
  <si>
    <t xml:space="preserve">Sasuma Reservoir </t>
  </si>
  <si>
    <t xml:space="preserve">Vo Trung, H., Viet Nguyen, T., &amp; Simioni, M. </t>
  </si>
  <si>
    <t xml:space="preserve">Willingness to pay for mangrove preservation in Xuan Thuy National Park, Vietnam: Do household knowledge and interest play a role? </t>
  </si>
  <si>
    <t xml:space="preserve">Vo Trung, H., Viet Nguyen, T., &amp; Simioni, M. (2020). Willingness to pay for mangrove preservation in Xuan Thuy National Park, Vietnam: Do household knowledge and interest play a role? Journal of Environmental Economics and Policy, 9(4), 402–420. Scopus. </t>
  </si>
  <si>
    <t>https://doi.org/10.1080/21606544.2020.1716854</t>
  </si>
  <si>
    <t>Balana, B. B., Catacutan, D., &amp; Mäkelä, M.</t>
  </si>
  <si>
    <t xml:space="preserve">Assessing the willingness to pay for reliable domestic water supply via catchment management: Results from a contingent valuation survey in Nairobi City, Kenya. </t>
  </si>
  <si>
    <t xml:space="preserve">Balana, B. B., Catacutan, D., &amp; Mäkelä, M. (2013). Assessing the willingness to pay for reliable domestic water supply via catchment management: Results from a contingent valuation survey in Nairobi City, Kenya. Journal of Environmental Planning and Management, 56(10), 1511–1531. Scopus. </t>
  </si>
  <si>
    <t>https://doi.org/10.1080/09640568.2012.732934</t>
  </si>
  <si>
    <t>Madiany administrative division, Siaya County</t>
  </si>
  <si>
    <t>Returns from beans</t>
  </si>
  <si>
    <t>Grazing of livestock</t>
  </si>
  <si>
    <t>Collecting firewood</t>
  </si>
  <si>
    <t>Sale of charcoal</t>
  </si>
  <si>
    <t>Table II</t>
  </si>
  <si>
    <t xml:space="preserve">Wanjiru, H., Diaz-Chavez, R., &amp; Johnson, F. X. </t>
  </si>
  <si>
    <t xml:space="preserve">Charcoal production in Kenya. Ensuring sustainability in hotspots areas. </t>
  </si>
  <si>
    <t>Wanjiru, H., Diaz-Chavez, R., &amp; Johnson, F. X. (2018). Charcoal production in Kenya. Ensuring sustainability in hotspots areas. 2018(26thEUBCE), 1373–1377. Scopus.</t>
  </si>
  <si>
    <t>Urban</t>
  </si>
  <si>
    <t>Nairobi</t>
  </si>
  <si>
    <t>Kisumu</t>
  </si>
  <si>
    <t>Mombasa</t>
  </si>
  <si>
    <t>Average price per 5g of medicinal plants</t>
  </si>
  <si>
    <t>KShs/ha/yr</t>
  </si>
  <si>
    <t>KShs/5g</t>
  </si>
  <si>
    <t>McMullin, S., Phelan, J., Jamnadass, R., Iiyama, M., Franzel, S., &amp; Nieuwenhuis, M.</t>
  </si>
  <si>
    <t>Trade in medicinal tree and shrub products in three urban centres in Kenya</t>
  </si>
  <si>
    <t xml:space="preserve">McMullin, S., Phelan, J., Jamnadass, R., Iiyama, M., Franzel, S., &amp; Nieuwenhuis, M. (2012). Trade in medicinal tree and shrub products in three urban centres in Kenya. Forests Trees and Livelihoods, 21(3–4), 188–206. Scopus. </t>
  </si>
  <si>
    <t>https://doi.org/10.1080/14728028.2012.733559</t>
  </si>
  <si>
    <t xml:space="preserve">Maasai Mara National Park </t>
  </si>
  <si>
    <t>Park recreational value</t>
  </si>
  <si>
    <t>Page 219, Section 7</t>
  </si>
  <si>
    <t xml:space="preserve">Mulwa, R., Kabubo-Mariara, J., &amp; Nyangena, W. </t>
  </si>
  <si>
    <t>Recreational value and optimal pricing of national parks: Lessons from Maasai Mara in Kenya.</t>
  </si>
  <si>
    <t xml:space="preserve">Mulwa, R., Kabubo-Mariara, J., &amp; Nyangena, W. (2018). Recreational value and optimal pricing of national parks: Lessons from Maasai Mara in Kenya. Journal of Environmental Economics and Policy, 7(2), 204–222. Scopus. </t>
  </si>
  <si>
    <t>https://doi.org/10.1080/21606544.2017.1391716</t>
  </si>
  <si>
    <t xml:space="preserve">Lake Naivasha </t>
  </si>
  <si>
    <t>Fishermen community's marginal willingness to pay for Tilapia fish abundance</t>
  </si>
  <si>
    <t>Fishermen community's marginal willingness to pay for fish breeding grounds</t>
  </si>
  <si>
    <t>Fishermen community's marginal willingness to pay for accessibility of fishing zones</t>
  </si>
  <si>
    <t>Fishermen community's average marginal willingness to pay for:
1) Lake Navaisha fish breeding grounds increasing from 15% to 25%
2) An increase in total fish landings of Tilapia from 2% to 15%
3) An increase in easily accessible fishing zones from 50% to 65%</t>
  </si>
  <si>
    <t>Fishermen community's average marginal willingness to pay for:
1) Lake Navaisha fish breeding grounds increasing from 15% to 50%
2) An increase in total fish landings of Tilapia from 2% to 35%
3) An increase in easily accessible fishing zones from 50% to 80%</t>
  </si>
  <si>
    <t>Mulatu, D. W., van Oel, P. R., Odongo, V., &amp; van der Veen, A.</t>
  </si>
  <si>
    <t>Fishing community preferences and willingness to pay for alternative developments of ecosystem-based fisheries management (EBFM) for Lake Naivasha, Kenya.</t>
  </si>
  <si>
    <t xml:space="preserve">Mulatu, D. W., van Oel, P. R., Odongo, V., &amp; van der Veen, A. (2018). Fishing community preferences and willingness to pay for alternative developments of ecosystem-based fisheries management (EBFM) for Lake Naivasha, Kenya. Lakes and Reservoirs: Research and Management, 23(3), 190–203. Scopus. </t>
  </si>
  <si>
    <t>https://doi.org/10.1111/lre.12225</t>
  </si>
  <si>
    <t>Value of fodder</t>
  </si>
  <si>
    <t>Value of construction material</t>
  </si>
  <si>
    <t>Value of other forest products</t>
  </si>
  <si>
    <t>Total value of forest products</t>
  </si>
  <si>
    <t>Value of fuel</t>
  </si>
  <si>
    <t>Table 4- forest income, Table 2- plot size</t>
  </si>
  <si>
    <t>Dundori forest, Nakuru district</t>
  </si>
  <si>
    <t>Calculation</t>
  </si>
  <si>
    <t>Per hectare value calculated by dividing value by average plot size of 1.95</t>
  </si>
  <si>
    <t>Kabubo-Mariara, J.</t>
  </si>
  <si>
    <t>Forest-poverty nexus: Exploring the contribution of forests to rural livelihoods in Kenya.</t>
  </si>
  <si>
    <t xml:space="preserve">Kabubo-Mariara, J. (2013). Forest-poverty nexus: Exploring the contribution of forests to rural livelihoods in Kenya. Natural Resources Forum, 37(3), 177–188. Scopus. </t>
  </si>
  <si>
    <t>https://doi.org/10.1111/1477-8947.12003</t>
  </si>
  <si>
    <t>Total economic value of a macadamia nut orchard</t>
  </si>
  <si>
    <t>0°59’S</t>
  </si>
  <si>
    <t>37°04’E</t>
  </si>
  <si>
    <t>Page 297, Results and discussion</t>
  </si>
  <si>
    <t>Page 52, Section 2.5.3</t>
  </si>
  <si>
    <t>Page 170, section 3.2.3</t>
  </si>
  <si>
    <t>Page 169, section 3.2.1</t>
  </si>
  <si>
    <t>Page 170, section 3.2.4</t>
  </si>
  <si>
    <t>Per hectare value</t>
  </si>
  <si>
    <t>Unit per hectare value</t>
  </si>
  <si>
    <t>Table/Figure/Page- Service Area</t>
  </si>
  <si>
    <t>Page 167, Section 2.1</t>
  </si>
  <si>
    <t>Multiplied the per farmer value by the number of farmers (700) and divided by the area (2340)</t>
  </si>
  <si>
    <t>Page 363, Introduction</t>
  </si>
  <si>
    <t>https://www.bornfree.org.uk/storage/media/content/files/National%20Recovery%20and%20Action%20Plan%20for%20Lion%20%20copy.pdf</t>
  </si>
  <si>
    <t>Multiplied the per lion value by the number of lions in Kenya (2000) and divided by the range of lions in Kenya (8694 km2). Figures for lion population and range area obtained from the national report on lions: https://www.bornfree.org.uk/storage/media/content/files/National%20Recovery%20and%20Action%20Plan%20for%20Lion%20%20copy.pdf</t>
  </si>
  <si>
    <t>Net revenue from alate termites</t>
  </si>
  <si>
    <t>KShs/month/farmer</t>
  </si>
  <si>
    <t>Hamisi sub-county and Luanda sub-county, Vihiga County</t>
  </si>
  <si>
    <t>https://www.knbs.or.ke/?wpdmpro=2019-kenya-population-and-housing-census-volume-i-population-by-county-and-sub-county</t>
  </si>
  <si>
    <t>Page 7, Potential of alate termites as an enterprise</t>
  </si>
  <si>
    <t>Did not have data to caculate per hectare value</t>
  </si>
  <si>
    <t>Page 6</t>
  </si>
  <si>
    <t>Divided value by area</t>
  </si>
  <si>
    <t>KShs/farm/yr</t>
  </si>
  <si>
    <t>Page 296</t>
  </si>
  <si>
    <t>Multiplied value by number of farmers (63000) and divided by area</t>
  </si>
  <si>
    <t>Page 460, Section 2.1</t>
  </si>
  <si>
    <t>KShs/farmer/kg</t>
  </si>
  <si>
    <t>Page 266</t>
  </si>
  <si>
    <t>https://www.un.int/kenya/kenya/general-information-about-kenya</t>
  </si>
  <si>
    <t>Value divided by area</t>
  </si>
  <si>
    <t>Page 3, Section 2.1</t>
  </si>
  <si>
    <t>Value multiplied by number of households in the area (99119) divided by area</t>
  </si>
  <si>
    <t>Page 245</t>
  </si>
  <si>
    <t>Table/Figure/Page-Number of households</t>
  </si>
  <si>
    <t>Page 4, Study Area</t>
  </si>
  <si>
    <t xml:space="preserve">-Multiply monthly value by 12 to get annual value
-Multiply annual value by number of households in Hamisi and Luanda (37982+26766)-
-Divide by area (8430+15720) </t>
  </si>
  <si>
    <t>Number of households/farms</t>
  </si>
  <si>
    <t>Page 3</t>
  </si>
  <si>
    <t>Page 245- Total revenue divided by per hectare value</t>
  </si>
  <si>
    <t>Value multiplied by number of households (933) divided by the area</t>
  </si>
  <si>
    <t>Page 349</t>
  </si>
  <si>
    <t>Page 39</t>
  </si>
  <si>
    <t>Page 24</t>
  </si>
  <si>
    <t>Narok</t>
  </si>
  <si>
    <t xml:space="preserve">Total ecosystem derived income </t>
  </si>
  <si>
    <t>Per hectare value calculated by dividing value by average plot size of 1.93- Value found in Table 2.</t>
  </si>
  <si>
    <t>Value of mangrove-dependent fisheries</t>
  </si>
  <si>
    <t>Page 405, Indirect Benefits</t>
  </si>
  <si>
    <t>Page 407, Indirect Benefits</t>
  </si>
  <si>
    <t>Page 404, Direct Benefits</t>
  </si>
  <si>
    <t>Value of firewood if all the firewood in the plantation was removed and sold</t>
  </si>
  <si>
    <t>Value of extractable wood products from a 12-year old Rhizophora plantation</t>
  </si>
  <si>
    <t xml:space="preserve">Value of per hectare protection from shoreline erosion </t>
  </si>
  <si>
    <t>Value of firewood per hectare per year</t>
  </si>
  <si>
    <t>Value of building poles</t>
  </si>
  <si>
    <t>Value of education and research</t>
  </si>
  <si>
    <t>Value of research funds</t>
  </si>
  <si>
    <t>Abstract</t>
  </si>
  <si>
    <t>Value of carbon sequestration from mangrove, salt marshes and sea grass for Africa</t>
  </si>
  <si>
    <t>Value per acre multiplied by 2.471</t>
  </si>
  <si>
    <t>https://www.researchgate.net/publication/331553635_Spatio-temporal_characterization_of_Agricultural_Drought_using_Soil_Moisture_Deficit_Index_SMDI_in_the_Upper_Tana_River_basin_Kenya#pf2</t>
  </si>
  <si>
    <t>Value divided by study area</t>
  </si>
  <si>
    <t>Paper did not have study area</t>
  </si>
  <si>
    <t>Value of carbon sequestration in Trans Mara</t>
  </si>
  <si>
    <t>Value of carbon sequestration in Ol-Pusimoro</t>
  </si>
  <si>
    <t>Value of carbon sequestration in East Mau</t>
  </si>
  <si>
    <t>Page 72</t>
  </si>
  <si>
    <t>Figure 11</t>
  </si>
  <si>
    <t>Figure 13</t>
  </si>
  <si>
    <t>Page 83</t>
  </si>
  <si>
    <t>Page 25, Section 4.1.2</t>
  </si>
  <si>
    <t>Page 26, Section 4.1.2</t>
  </si>
  <si>
    <t>Table 4.1</t>
  </si>
  <si>
    <t xml:space="preserve">Page 8 </t>
  </si>
  <si>
    <t>Page 9</t>
  </si>
  <si>
    <t>Total value of firewood for all households</t>
  </si>
  <si>
    <t>Value of grass thatching per household</t>
  </si>
  <si>
    <t>Total value of carbon sequestration</t>
  </si>
  <si>
    <t>Page 1, Materials and Methods</t>
  </si>
  <si>
    <t>Value multiplied by number of households and divided by area</t>
  </si>
  <si>
    <t>Page 7, Section 4.1</t>
  </si>
  <si>
    <t>Page 2421, Section 3.1</t>
  </si>
  <si>
    <t>Page 2424, Section 3.8</t>
  </si>
  <si>
    <t>Average compensation paid for kills per lion</t>
  </si>
  <si>
    <t>Page 2420, Section 2.1</t>
  </si>
  <si>
    <t>Payment for the loss of one cow to depredation</t>
  </si>
  <si>
    <t>Payment for the loss of one goat/sheep to depredation</t>
  </si>
  <si>
    <t>Payment for the loss of one donkey to depredation</t>
  </si>
  <si>
    <t>-Number of animals killed divided by time frame (3.5 years) to get number of animals killed per year
- Value divided by area</t>
  </si>
  <si>
    <t>Value multiplied by number of lions in the area (13) divided by area</t>
  </si>
  <si>
    <t>Profit from maize crop production</t>
  </si>
  <si>
    <t xml:space="preserve">Profit from bean crop production </t>
  </si>
  <si>
    <t>Profit from potato crop production</t>
  </si>
  <si>
    <t>Page 442</t>
  </si>
  <si>
    <t xml:space="preserve">Mandere, N. M., Anderberg, S., Armah, F. A., &amp; Abaya, S. W. </t>
  </si>
  <si>
    <t xml:space="preserve">Assessing the contribution of alternative agriculture to poverty reduction and employment creation: A case study of sugar beet cultivation in Kenya. </t>
  </si>
  <si>
    <t>Mandere, N. M., Anderberg, S., Armah, F. A., &amp; Abaya, S. W. (2018). Assessing the contribution of alternative agriculture to poverty reduction and employment creation: A case study of sugar beet cultivation in Kenya. 11.</t>
  </si>
  <si>
    <t>Page 336</t>
  </si>
  <si>
    <t>Value of restoring all land lost to prosposis invasion- not a per year value</t>
  </si>
  <si>
    <t>Table B2</t>
  </si>
  <si>
    <t>Net present value of the hydropower dam for cumulative benefits across different benefit streams/stakeholders</t>
  </si>
  <si>
    <t>Value of reduced erosion/nutrient loss from fields after dam construction for upstream farmers</t>
  </si>
  <si>
    <t>Page 5</t>
  </si>
  <si>
    <t>Total value of crops grown in the Tana River County</t>
  </si>
  <si>
    <t>Tana River County</t>
  </si>
  <si>
    <t>Page 38</t>
  </si>
  <si>
    <t>Page 381</t>
  </si>
  <si>
    <t>USD/year</t>
  </si>
  <si>
    <t>Value of annual production of milk from two dairy cows</t>
  </si>
  <si>
    <t>0.06 is the average farm size for the area</t>
  </si>
  <si>
    <t>Willingness to accept compensation for environment-friendly agricultural practives and reforestation of degraded forest</t>
  </si>
  <si>
    <t>Willingness to accept compensation for restoration of riparian land and floodplain areas- Water resources user area sub basins where payments for watershed ecosystem services were implemented</t>
  </si>
  <si>
    <t>Willingness to accept compensation for environment-friendly conservation agriculture farming practices on farm households land- Water resources user area sub basins where payments for watershed ecosystem services were implemented</t>
  </si>
  <si>
    <t>Willingness to accept compensation for reforestation of degraded forest areas- Water resources user area sub basins where payments for watershed ecosystem services were implemented</t>
  </si>
  <si>
    <t>Willingness to accept compensation for restoration of riparian land and floodplain areas- Water resources user area sub basins where payments for watershed ecosystem services were not implemented</t>
  </si>
  <si>
    <t>Willingness to accept compensation for environment-friendly conservation agriculture farming practices on farm households land- Water resources user area sub basins where payments for watershed ecosystem services were not implemented</t>
  </si>
  <si>
    <t>Willingness to accept compensation for reforestation of degraded forest areas- Water resources user area sub basins where payments for watershed ecosystem services were not implemented</t>
  </si>
  <si>
    <t>Page 23 of Mulatu et al (2013), Farm households’ preferences for collective and individual actions to improve water-related ecosystem services</t>
  </si>
  <si>
    <t>Value multiplied by 1 divided by farm size</t>
  </si>
  <si>
    <t>Page 191</t>
  </si>
  <si>
    <t>Page 193</t>
  </si>
  <si>
    <t>USD/fisherman/yr</t>
  </si>
  <si>
    <t>Value multiplied by number of fishermen and divided by area</t>
  </si>
  <si>
    <t>Table 16.5</t>
  </si>
  <si>
    <t>Table 16.6</t>
  </si>
  <si>
    <t>Table 16.9</t>
  </si>
  <si>
    <t>Table 16.1</t>
  </si>
  <si>
    <t>USD/ha/5 years</t>
  </si>
  <si>
    <t>Total income from livestock enclosure- Enclosures F1, F1a and F1b</t>
  </si>
  <si>
    <t>Total income from livestock enclosure- Enclosures F2, F2a and F2b</t>
  </si>
  <si>
    <t>Total income from livestock enclosure-Enclosures F4 and F4a</t>
  </si>
  <si>
    <t>Total income from livestock enclosure- Enclosures F13</t>
  </si>
  <si>
    <t>Table III</t>
  </si>
  <si>
    <t>-Value divided by 5 to get annual value
-Value divided by area</t>
  </si>
  <si>
    <t>https://snv.org/update/mwingi-beekeepers-crop-cooperative-society-journey-transformation-and-empowerment</t>
  </si>
  <si>
    <t>-Value multiplied by number of beekeepers in the Mwingi Beekeepers Self Help Group
-Value divided by area of Mwingi county</t>
  </si>
  <si>
    <t>Meru South</t>
  </si>
  <si>
    <t xml:space="preserve">Total revenue from using solely animal manure for fertilizer for maize production </t>
  </si>
  <si>
    <t xml:space="preserve">Gross margins from using solely animal manure for fertilizer for maize production </t>
  </si>
  <si>
    <t>USD/ha/household/yr</t>
  </si>
  <si>
    <t>-https://www.knbs.or.ke/?wpdmpro=2019-kenya-population-and-housing-census-volume-iv-distribution-of-population-by-socio-economic-characteristics
-Page 372 Maize production in Gatanga</t>
  </si>
  <si>
    <t>-https://www.knbs.or.ke/?wpdmpro=2019-kenya-population-and-housing-census-volume-iv-distribution-of-population-by-socio-economic-characteristics
-Page 372 Maize production in Murang'a South</t>
  </si>
  <si>
    <t>Total average annual value of forest use values</t>
  </si>
  <si>
    <t>Page 164</t>
  </si>
  <si>
    <t>Page 169</t>
  </si>
  <si>
    <t xml:space="preserve">-Value multiplied by the number of households in the study
-Value divided by study </t>
  </si>
  <si>
    <t xml:space="preserve">USD per hectare value is based on households sampled in the study, not the total number of households
Mehod- participatory environmental valuation </t>
  </si>
  <si>
    <t>Page 2, Section 2</t>
  </si>
  <si>
    <t>Page 4</t>
  </si>
  <si>
    <t>-https://www.knbs.or.ke/?wpdmpro=2019-kenya-population-and-housing-census-volume-iv-distribution-of-population-by-socio-economic-characteristics
-Page 373</t>
  </si>
  <si>
    <t>-https://www.knbs.or.ke/?wpdmpro=2019-kenya-population-and-housing-census-volume-iv-distribution-of-population-by-socio-economic-characteristics
-Page 374</t>
  </si>
  <si>
    <t>-https://www.knbs.or.ke/?wpdmpro=2019-kenya-population-and-housing-census-volume-iv-distribution-of-population-by-socio-economic-characteristics
-Page 375</t>
  </si>
  <si>
    <t>-https://www.knbs.or.ke/?wpdmpro=2019-kenya-population-and-housing-census-volume-iv-distribution-of-population-by-socio-economic-characteristics
-Page 376</t>
  </si>
  <si>
    <t>-https://www.knbs.or.ke/?wpdmpro=2019-kenya-population-and-housing-census-volume-iv-distribution-of-population-by-socio-economic-characteristics
-Page 377</t>
  </si>
  <si>
    <t>-https://www.knbs.or.ke/?wpdmpro=2019-kenya-population-and-housing-census-volume-iv-distribution-of-population-by-socio-economic-characteristics
-Page 378</t>
  </si>
  <si>
    <t>-https://www.knbs.or.ke/?wpdmpro=2019-kenya-population-and-housing-census-volume-iv-distribution-of-population-by-socio-economic-characteristics
-Page 379</t>
  </si>
  <si>
    <t>-https://www.knbs.or.ke/?wpdmpro=2019-kenya-population-and-housing-census-volume-iv-distribution-of-population-by-socio-economic-characteristics
-Page 380</t>
  </si>
  <si>
    <t>-https://www.knbs.or.ke/?wpdmpro=2019-kenya-population-and-housing-census-volume-iv-distribution-of-population-by-socio-economic-characteristics
-Page 381</t>
  </si>
  <si>
    <t>-https://www.knbs.or.ke/?wpdmpro=2019-kenya-population-and-housing-census-volume-iv-distribution-of-population-by-socio-economic-characteristics
-Page 382</t>
  </si>
  <si>
    <t>-https://www.knbs.or.ke/?wpdmpro=2019-kenya-population-and-housing-census-volume-iv-distribution-of-population-by-socio-economic-characteristics
-Page 383</t>
  </si>
  <si>
    <t>-https://www.knbs.or.ke/?wpdmpro=2019-kenya-population-and-housing-census-volume-iv-distribution-of-population-by-socio-economic-characteristics
-Page 384</t>
  </si>
  <si>
    <t>-https://www.knbs.or.ke/?wpdmpro=2019-kenya-population-and-housing-census-volume-iv-distribution-of-population-by-socio-economic-characteristics
-Page 385</t>
  </si>
  <si>
    <t>-https://www.knbs.or.ke/?wpdmpro=2019-kenya-population-and-housing-census-volume-iv-distribution-of-population-by-socio-economic-characteristics
-Page 386</t>
  </si>
  <si>
    <t>-https://www.knbs.or.ke/?wpdmpro=2019-kenya-population-and-housing-census-volume-iv-distribution-of-population-by-socio-economic-characteristics
-Page 387</t>
  </si>
  <si>
    <t>-https://www.knbs.or.ke/?wpdmpro=2019-kenya-population-and-housing-census-volume-iv-distribution-of-population-by-socio-economic-characteristics
-Page 388</t>
  </si>
  <si>
    <t>-https://www.knbs.or.ke/?wpdmpro=2019-kenya-population-and-housing-census-volume-iv-distribution-of-population-by-socio-economic-characteristics
-Page 389</t>
  </si>
  <si>
    <t>-https://www.knbs.or.ke/?wpdmpro=2019-kenya-population-and-housing-census-volume-iv-distribution-of-population-by-socio-economic-characteristics
-Page 390</t>
  </si>
  <si>
    <t>-https://www.knbs.or.ke/?wpdmpro=2019-kenya-population-and-housing-census-volume-iv-distribution-of-population-by-socio-economic-characteristics
-Page 391</t>
  </si>
  <si>
    <t>-https://www.knbs.or.ke/?wpdmpro=2019-kenya-population-and-housing-census-volume-iv-distribution-of-population-by-socio-economic-characteristics
-Page 392</t>
  </si>
  <si>
    <t>-https://www.knbs.or.ke/?wpdmpro=2019-kenya-population-and-housing-census-volume-iv-distribution-of-population-by-socio-economic-characteristics
-Page 393</t>
  </si>
  <si>
    <t>-https://www.knbs.or.ke/?wpdmpro=2019-kenya-population-and-housing-census-volume-iv-distribution-of-population-by-socio-economic-characteristics
-Page 394</t>
  </si>
  <si>
    <t>-https://www.knbs.or.ke/?wpdmpro=2019-kenya-population-and-housing-census-volume-iv-distribution-of-population-by-socio-economic-characteristics
-Page 395</t>
  </si>
  <si>
    <t>-https://www.knbs.or.ke/?wpdmpro=2019-kenya-population-and-housing-census-volume-iv-distribution-of-population-by-socio-economic-characteristics
-Page 396</t>
  </si>
  <si>
    <t>-Value multiplied by number of dairy farming households in Vihiga
-Value divided by area of Vihiga</t>
  </si>
  <si>
    <t>The paper did not have data on the number of households or the area size</t>
  </si>
  <si>
    <t>Total revenue from tourists stauing inside the Maasai Mara Nature Reserve</t>
  </si>
  <si>
    <t>Page 1118</t>
  </si>
  <si>
    <t>Total potential revenue from all tourists visiting the Maasai Mara Nature Reserve</t>
  </si>
  <si>
    <t>Total potential yearly revenue based on the Maasai Mara Nature Reserve Management Plan</t>
  </si>
  <si>
    <t>Page 1111</t>
  </si>
  <si>
    <t>Page 19</t>
  </si>
  <si>
    <t>Page 18</t>
  </si>
  <si>
    <t xml:space="preserve">Page 23  </t>
  </si>
  <si>
    <t>KShs/kg/yr</t>
  </si>
  <si>
    <t>Page 417</t>
  </si>
  <si>
    <t>Page 513, Section 3.3</t>
  </si>
  <si>
    <t>Nyando Basin</t>
  </si>
  <si>
    <t>Total cost for implementing grass filter strips and a grassed waterway</t>
  </si>
  <si>
    <t>Cost of establishing grassed waterways</t>
  </si>
  <si>
    <t>Table 1, Page 260</t>
  </si>
  <si>
    <t>KShs/acre/yr</t>
  </si>
  <si>
    <t>KShs/unit</t>
  </si>
  <si>
    <t>https://www.knbs.or.ke/download/population-distribution-by-sex-number-of-households-area-and-density-by-county-and-district/</t>
  </si>
  <si>
    <t>-Turkana, Marsabit, Samburu, Isiolo and Mandera counties
- Sample size 201</t>
  </si>
  <si>
    <t>Value multiplied by number of households in the area divided by area</t>
  </si>
  <si>
    <t>Page 48, Section 3.2</t>
  </si>
  <si>
    <t>Page 48, Section 3.1</t>
  </si>
  <si>
    <t>-Could not find year of validation
-Did not have data to calculate per hectare value</t>
  </si>
  <si>
    <t>Net present value of benefits from investments in sustainable land management over 30 years</t>
  </si>
  <si>
    <t>USD/30 years</t>
  </si>
  <si>
    <t>KShs/acre/3years</t>
  </si>
  <si>
    <t>Page 1375, Section 3.1</t>
  </si>
  <si>
    <t xml:space="preserve">-Value from paper given per acre per 3 years. Value multiplied divided by 3 and multiplied by 2.47105 to get per hectare per year value. 
-Service area- the study area has 4000 households each with an average of 0.5 acres of farmland. </t>
  </si>
  <si>
    <t>Gross profit for Japonica Rice in experimental plot S1</t>
  </si>
  <si>
    <t>Gross profit for Japonica Rice in experimental plot S2</t>
  </si>
  <si>
    <t>Net profit for Japonica Rice  in experimental plot S1</t>
  </si>
  <si>
    <t>Net profit for Japonica Rice  in experimental plot S2</t>
  </si>
  <si>
    <t xml:space="preserve">-Kg/year Value multiplied by the 6.33(6.07)/tons/ha value </t>
  </si>
  <si>
    <t>-https://www.knbs.or.ke/?wpdmpro=2019-kenya-population-and-housing-census-volume-iv-distribution-of-population-by-socio-economic-characteristics
-Page 354, Number of crop producing households</t>
  </si>
  <si>
    <t>-Value multiplied by (1/0.7). Average farm size per farmer is 0.7 ha- Page 471</t>
  </si>
  <si>
    <t>Marginal WTP for a 20% in water availability</t>
  </si>
  <si>
    <t>Marginal WTP for a 50% decrease in the amount of soil loss</t>
  </si>
  <si>
    <t>Marginal WTP for the supply of forest products for 30 more years</t>
  </si>
  <si>
    <t>Page 51, Section 2.5.3</t>
  </si>
  <si>
    <t>Page 2, Section 2.1</t>
  </si>
  <si>
    <t>Total indirect use value</t>
  </si>
  <si>
    <t>Annual value regulating flood control- Cluster B- Kilunguni and Kibani villages</t>
  </si>
  <si>
    <t>Annual value provisioning firewood- Cluster B- Kilunguni and Kibani villages</t>
  </si>
  <si>
    <t>Annual value provisioning timber- Cluster B- Kilunguni and Kibani villages</t>
  </si>
  <si>
    <t>Annual value provisioning herbal medicine- Cluster B- Kilunguni and Kibani villages</t>
  </si>
  <si>
    <t>Annual value provisioning thatch- Cluster B- Kilunguni and Kibani villages</t>
  </si>
  <si>
    <t>Annual value provisioning fishing- Cluster B- Kilunguni and Kibani villages</t>
  </si>
  <si>
    <t>Annual value provisioning fodder- Cluster B- Kilunguni and Kibani villages</t>
  </si>
  <si>
    <t>Annual value provisioning honey- Cluster B- Kilunguni and Kibani villages</t>
  </si>
  <si>
    <t>Annual value cultural ecoturism- Cluster C- Kipini village</t>
  </si>
  <si>
    <t>Annual value regulating flood control- Cluster C- Kipini village</t>
  </si>
  <si>
    <t>Annual value provisioning honey- Cluster C- Kipini village</t>
  </si>
  <si>
    <t>Annual value provisioning fodder- Cluster C- Kipini village</t>
  </si>
  <si>
    <t>Annual value provisioning fishing- Cluster C- Kipini village</t>
  </si>
  <si>
    <t>Annual value provisioning thatch- Cluster C- Kipini village</t>
  </si>
  <si>
    <t>Annual value provisioning herbal medicine- Cluster C- Kipini village</t>
  </si>
  <si>
    <t>Annual value provisioning timber- Cluster C- Kipini village</t>
  </si>
  <si>
    <t>Annual value provisioning firewood- Cluster C- Kipini village</t>
  </si>
  <si>
    <t>Total value of mangrove ecosystem services- Cluster B- Kilunguni and Kibani villages</t>
  </si>
  <si>
    <t>Total value of mangrove ecosystem services- Cluster C- Kipini village</t>
  </si>
  <si>
    <t>Page 505</t>
  </si>
  <si>
    <t>Net benefit of mangrove forest- Cluster B</t>
  </si>
  <si>
    <t>Net benefit of mangrove forest- Cluster C</t>
  </si>
  <si>
    <t>Page 1197</t>
  </si>
  <si>
    <t>Eur/ha/yr</t>
  </si>
  <si>
    <t>Page 1195</t>
  </si>
  <si>
    <t>Returns from annual fish yeild in Lake Kanyaboli and Lake Sare</t>
  </si>
  <si>
    <t>Method used- Spatial modelling of nutrient loading</t>
  </si>
  <si>
    <t>Lake Kanyaboli and Lake Sare, Yala Wetland</t>
  </si>
  <si>
    <t>Page 183</t>
  </si>
  <si>
    <t>USD/household/month</t>
  </si>
  <si>
    <t>Annual value of agriculture</t>
  </si>
  <si>
    <t>Annual value of livestock</t>
  </si>
  <si>
    <t>Total value of resources in the delta area</t>
  </si>
  <si>
    <t>Page 53</t>
  </si>
  <si>
    <t>Page 35</t>
  </si>
  <si>
    <t>Method- benefit transfer and 'own calculations'</t>
  </si>
  <si>
    <t>Value of biodiversity in the mangrove forest</t>
  </si>
  <si>
    <t>Total economic value of the mangrove forest</t>
  </si>
  <si>
    <t>Value of fishery in the mangrove forest</t>
  </si>
  <si>
    <t>Value of apiculture in the mangrove forest</t>
  </si>
  <si>
    <t>Value of aquaculture in the mangrove forest</t>
  </si>
  <si>
    <t>Value of education and research in the mangrove forest</t>
  </si>
  <si>
    <t>Value of tourism in the mangrove forest</t>
  </si>
  <si>
    <t>Value of carbon sequestration in the mangrove forest</t>
  </si>
  <si>
    <t>Value of shoreline protection in the mangrove forest</t>
  </si>
  <si>
    <t>Value of wood in the mangrove forest- poles and fuel wood</t>
  </si>
  <si>
    <t>Method- funding for research project in the mangroves</t>
  </si>
  <si>
    <t>Total existence value</t>
  </si>
  <si>
    <t>Table G1</t>
  </si>
  <si>
    <t>Willingness to pay for maintanence of springs to households with protected and unprotected springs</t>
  </si>
  <si>
    <t>Page 8, Section 3.3</t>
  </si>
  <si>
    <t>Page 161</t>
  </si>
  <si>
    <t>Page 93</t>
  </si>
  <si>
    <t>Price for Forest Stewardship Council Acacia timber- Log diameter of 10-13cm</t>
  </si>
  <si>
    <t>Price for Forest Stewardship Council Acacia timber- Log diameter of 14-19.5cm</t>
  </si>
  <si>
    <t>Total amount for Forest Stewardship Council certified wood</t>
  </si>
  <si>
    <t>Page 1527</t>
  </si>
  <si>
    <t>Page 1045</t>
  </si>
  <si>
    <t>Page 1045- Sum of area protected by village households</t>
  </si>
  <si>
    <t>VND//ha/yr</t>
  </si>
  <si>
    <t>Income from forest monitoring from UN-REDD</t>
  </si>
  <si>
    <t>Income from forest monitoring from FFI-REDD+</t>
  </si>
  <si>
    <t>VND/farm/ha</t>
  </si>
  <si>
    <t>Page 2811</t>
  </si>
  <si>
    <t xml:space="preserve">The value may be exaggerated because the area of Northern Vietnam growing groundnut was not given in the paper. The </t>
  </si>
  <si>
    <t>Page 2813</t>
  </si>
  <si>
    <t>USD/farmer/year</t>
  </si>
  <si>
    <t>Average profit per breeding the average of 10 pairs of porcupines for the sale of captive-bred offspring</t>
  </si>
  <si>
    <t>Net present value- Total of farm forestry, traditional forestry and conservation forestry</t>
  </si>
  <si>
    <t>http://www.statoids.com/yvn.html</t>
  </si>
  <si>
    <t>USD/household</t>
  </si>
  <si>
    <t>Mean willingness to pay for a 1% increase in healthy vegetation across the whole sample</t>
  </si>
  <si>
    <t>Mean willingness to pay for an additional ten Saurus Cranes across the whole sample</t>
  </si>
  <si>
    <t>Compensation for every 10 farmers made worse-off by the policy across the whole sample</t>
  </si>
  <si>
    <t>VND/household</t>
  </si>
  <si>
    <t>Page 100</t>
  </si>
  <si>
    <t>Disbursement rate for payments for forest ecosystem services</t>
  </si>
  <si>
    <t>Income from shrimp harvest per year (2008-2009)</t>
  </si>
  <si>
    <t xml:space="preserve">Table 3 </t>
  </si>
  <si>
    <t>VND/household/month</t>
  </si>
  <si>
    <t>Value of the forest</t>
  </si>
  <si>
    <t>Que Phong district, Nghe An Province</t>
  </si>
  <si>
    <t>Average payment per hectare of forest from the hydropower plants</t>
  </si>
  <si>
    <t>Pu Hoat nature reserve, Nghe An Province</t>
  </si>
  <si>
    <t>Amount of money that hydropower plants have to pay for ecosystem services in the Pu Hoat nature reserve</t>
  </si>
  <si>
    <t>Amount for payments for ecosystem services for 1 ha of forest in Ba Be, Pac Nam and Na Hang district</t>
  </si>
  <si>
    <t>Net income from potato production</t>
  </si>
  <si>
    <t>Hue, D. T., Batt, P. J., McPharlin, I., &amp; Dawson, P.</t>
  </si>
  <si>
    <t xml:space="preserve">The economic impact on smallholder potato farmers in the Red River Delta, Vietnam, from the use of superior quality seed. </t>
  </si>
  <si>
    <t>Hue, D. T., Batt, P. J., McPharlin, I., &amp; Dawson, P. (2009). The economic impact on smallholder potato farmers in the Red River Delta, Vietnam, from the use of superior quality seed. Acta Horticulturae, 809, 171–179. Scopus.</t>
  </si>
  <si>
    <t>https://doi.org/10.17660/actahortic.2009.809.16</t>
  </si>
  <si>
    <t>Page 429</t>
  </si>
  <si>
    <t>Page 3- Sum of total forest area and buffer zone</t>
  </si>
  <si>
    <t>-Value multiplied by 12 to get an annual value
-Value multiplied by number of households and divided by area</t>
  </si>
  <si>
    <t>Marginal willingness to pay for an additional 1% of healthy vegetation for respondents in Can Tho City</t>
  </si>
  <si>
    <t>Marginal willingness to pay for increasing one more mammal species for respondents in Can Tho City</t>
  </si>
  <si>
    <t>Contribution per household to avoid welfare losses of 100 farmers for respondents in Can Tho City</t>
  </si>
  <si>
    <t>Page 65</t>
  </si>
  <si>
    <t>Can Tho-https://www.asean-mayors.eu/2022/01/member-profile-can-tho-vietnam/
Average household size in Vietnam- https://www.gso.gov.vn/wp-content/uploads/2019/03/6_Monograph-Age-Sex-Structure-2.pdf
Population in other provinces from Wikipedia</t>
  </si>
  <si>
    <t>Not sure about this number</t>
  </si>
  <si>
    <t>-Could not find year of validation
- Not sure about this caluculation</t>
  </si>
  <si>
    <t>Average household size in Vietnam- https://www.gso.gov.vn/wp-content/uploads/2019/03/6_Monograph-Age-Sex-Structure-2.pdf
Population in other provinces from Wikipedia</t>
  </si>
  <si>
    <t>http://www.statoids.com/yvn.html https://en.wikipedia.org/wiki/V%C4%A9nh_Th%E1%BA%A1nh_district,_B%C3%ACnh_%C4%90%E1%BB%8Bnh</t>
  </si>
  <si>
    <t>Total benefit for clean water project</t>
  </si>
  <si>
    <t>USD/month</t>
  </si>
  <si>
    <t>https://vi.wikipedia.org/wiki/Ph%C6%B0%E1%BB%9Bc_V%C4%A9nh_%C4%90%C3%B4ng</t>
  </si>
  <si>
    <t>10°34′2″ N 106°43′3″E</t>
  </si>
  <si>
    <t>106°43′3″E</t>
  </si>
  <si>
    <t>-Value multiplied by 12 to get an annual value
-Value divided by area</t>
  </si>
  <si>
    <t>Page 181</t>
  </si>
  <si>
    <t>Page 182</t>
  </si>
  <si>
    <t>Average tiger shrimp profit</t>
  </si>
  <si>
    <t>Page 870</t>
  </si>
  <si>
    <t>Page 873</t>
  </si>
  <si>
    <t>Page 908</t>
  </si>
  <si>
    <t xml:space="preserve">Revenue from maize production </t>
  </si>
  <si>
    <t>Net present value for acacia over 7 years with a discount rate of 6.5%</t>
  </si>
  <si>
    <t>Net present value for maize (high variability) over 7 years with a discount rate of 6.5%</t>
  </si>
  <si>
    <t>Net present value for maize (low variability) over 7 years with a discount rate of 6.5%</t>
  </si>
  <si>
    <t>Net present value for acacia over 7 years with a discount rate of 9%</t>
  </si>
  <si>
    <t>Net present value for maize (high variability) over 7 years with a discount rate of 9%</t>
  </si>
  <si>
    <t>Net present value for maize (low variability) over 7 years with a discount rate of 9%</t>
  </si>
  <si>
    <t>Cau Son Commune</t>
  </si>
  <si>
    <t xml:space="preserve">Revenue from timber sales from Benzoin tree production </t>
  </si>
  <si>
    <t xml:space="preserve">Revenue frominter-cropping from Benzoin tree production </t>
  </si>
  <si>
    <t>Value divided by 7 for annualised net present value</t>
  </si>
  <si>
    <t>Page 469</t>
  </si>
  <si>
    <t>Ben Hai SFC, Quang Tri Province</t>
  </si>
  <si>
    <t>Page 81</t>
  </si>
  <si>
    <t>-Value divided by area
- USD/yr value is the sum of fees from companies from Table 3</t>
  </si>
  <si>
    <t>Average amount of forest protection payment services per household</t>
  </si>
  <si>
    <t>Value of PES per household divided by area under PES per housholds</t>
  </si>
  <si>
    <t>National average PES for Vietnam</t>
  </si>
  <si>
    <t>Page 148, Research setting</t>
  </si>
  <si>
    <t>Number of households in the sample is 104 (Table 2). This number is multiplied by 5 as the sample size is 1/5 of the total number of households in the census (pg 150)</t>
  </si>
  <si>
    <t xml:space="preserve">Mean profit for a medium sized traditional aquaculture farm </t>
  </si>
  <si>
    <t xml:space="preserve">Mean profit for a large sized traditional aquaculture farm </t>
  </si>
  <si>
    <t xml:space="preserve">Mean profit for a medium sized recirculating aquaculture system farm </t>
  </si>
  <si>
    <t xml:space="preserve">Mean profit for a large sized recirculating aquaculture systems  farm </t>
  </si>
  <si>
    <t xml:space="preserve">More than 3 </t>
  </si>
  <si>
    <t xml:space="preserve">Revenue from shrimp production generated from mangrove-shrimp farming: 4-year depreciation of long term investment scenario, 30% mangrove coverage, 4 households </t>
  </si>
  <si>
    <t xml:space="preserve">Revenue from shrimp production generated from mangrove-shrimp farming: 4-year depreciation of long term investment scenario, 40% mangrove coverage, 4 households </t>
  </si>
  <si>
    <t xml:space="preserve">Revenue from shrimp production generated from mangrove-shrimp farming: 4-year depreciation of long term investment scenario, 50% mangrove coverage, 14 households </t>
  </si>
  <si>
    <t xml:space="preserve">Revenue from shrimp production generated from mangrove-shrimp farming: 4-year depreciation of long term investment scenario, 60% mangrove coverage, 7 households </t>
  </si>
  <si>
    <t xml:space="preserve">Revenue from shrimp production generated from mangrove-shrimp farming: 4-year depreciation of long term investment scenario, 70% mangrove coverage, 8 households </t>
  </si>
  <si>
    <t xml:space="preserve">Revenue from shrimp production generated from mangrove-shrimp farming: 6-year depreciation of long term investment scenario, 30% mangrove coverage, 4 households </t>
  </si>
  <si>
    <t xml:space="preserve">Revenue from shrimp production generated from mangrove-shrimp farming: 6-year depreciation of long term investment scenario, 40% mangrove coverage, 4 households </t>
  </si>
  <si>
    <t xml:space="preserve">Revenue from shrimp production generated from mangrove-shrimp farming: 6-year depreciation of long term investment scenario, 50% mangrove coverage, 14 households </t>
  </si>
  <si>
    <t xml:space="preserve">Revenue from shrimp production generated from mangrove-shrimp farming: 6-year depreciation of long term investment scenario, 60% mangrove coverage, 7 households </t>
  </si>
  <si>
    <t xml:space="preserve">Revenue from shrimp production generated from mangrove-shrimp farming: 6-year depreciation of long term investment scenario, 70% mangrove coverage, 8 households </t>
  </si>
  <si>
    <t xml:space="preserve">Revenue from shrimp production generated from mangrove-shrimp farming: 12-year depreciation of long term investment scenario, 30% mangrove coverage, 4 households </t>
  </si>
  <si>
    <t xml:space="preserve">Revenue from shrimp production generated from mangrove-shrimp farming: 12-year depreciation of long term investment scenario, 40% mangrove coverage, 4 households </t>
  </si>
  <si>
    <t xml:space="preserve">Revenue from shrimp production generated from mangrove-shrimp farming: 12-year depreciation of long term investment scenario, 50% mangrove coverage, 14 households </t>
  </si>
  <si>
    <t xml:space="preserve">Revenue from shrimp production generated from mangrove-shrimp farming: 12-year depreciation of long term investment scenario, 60% mangrove coverage, 7 households </t>
  </si>
  <si>
    <t xml:space="preserve">Revenue from shrimp production generated from mangrove-shrimp farming: 12-year depreciation of long term investment scenario, 70% mangrove coverage, 8 households </t>
  </si>
  <si>
    <t xml:space="preserve">Revenue from shrimp production generated from mangrove-shrimp farming: 24-year depreciation of long term investment scenario, 30% mangrove coverage, 4 households </t>
  </si>
  <si>
    <t xml:space="preserve">Revenue from shrimp production generated from mangrove-shrimp farming: 24-year depreciation of long term investment scenario, 40% mangrove coverage, 4 households </t>
  </si>
  <si>
    <t xml:space="preserve">Revenue from shrimp production generated from mangrove-shrimp farming: 24-year depreciation of long term investment scenario, 50% mangrove coverage, 14 households </t>
  </si>
  <si>
    <t xml:space="preserve">Revenue from shrimp production generated from mangrove-shrimp farming: 24-year depreciation of long term investment scenario, 60% mangrove coverage, 7 households </t>
  </si>
  <si>
    <t xml:space="preserve">Revenue from shrimp production generated from mangrove-shrimp farming: 24-year depreciation of long term investment scenario, 70% mangrove coverage, 8 households </t>
  </si>
  <si>
    <t>Revenue from mangrove and shrimp farming- 4-year depreciation of long-term investment scenario</t>
  </si>
  <si>
    <t>Revenue from intensive shrimp farming- 4-year depreciation of long-term investment scenario</t>
  </si>
  <si>
    <t>Revenue from mangrove of extensive shrimp farming- 4-year depreciation of long-term investment scenario</t>
  </si>
  <si>
    <t>Revenue from mangrove and shrimp farming- 6-year depreciation of long-term investment scenario</t>
  </si>
  <si>
    <t>Revenue from intensive shrimp farming- 6-year depreciation of long-term investment scenario</t>
  </si>
  <si>
    <t>Revenue from mangrove of extensive shrimp farming- 6-year depreciation of long-term investment scenario</t>
  </si>
  <si>
    <t>Revenue from mangrove and shrimp farming- 12-year depreciation of long-term investment scenario</t>
  </si>
  <si>
    <t>Revenue from intensive shrimp farming- 12-year depreciation of long-term investment scenario</t>
  </si>
  <si>
    <t>Revenue from mangrove of extensive shrimp farming- 12-year depreciation of long-term investment scenario</t>
  </si>
  <si>
    <t>Revenue from mangrove and shrimp farming- 24-year depreciation of long-term investment scenario</t>
  </si>
  <si>
    <t>Revenue from intensive shrimp farming- 24-year depreciation of long-term investment scenario</t>
  </si>
  <si>
    <t>Revenue from mangrove of extensive shrimp farming- 24-year depreciation of long-term investment scenario</t>
  </si>
  <si>
    <t>Page 2, Section 2.2</t>
  </si>
  <si>
    <t>Value divided by area. This assumes that the willingness to pay for acacia nursery stock is enough for the entire farm area under acacia</t>
  </si>
  <si>
    <t>Value of carbon storage- State based forest governance at a social cost of carbon of 31.4 USD/tC in the period 2010-2020</t>
  </si>
  <si>
    <t>Value of carbon storage- State based forest governance at a social cost of carbon of 50 USD/tC in the period 2010-2020</t>
  </si>
  <si>
    <t>Value of carbon storage- State based forest governance at a social cost of carbon of 80.9 USD/tC in the period 2010-2020</t>
  </si>
  <si>
    <t>Value of carbon storage- Community based forest governance at a social cost of carbon of 31.4 USD/tC in the period 2010-2020</t>
  </si>
  <si>
    <t>Value of carbon storage- Community based forest governance at a social cost of carbon of 50 USD/tC in the period 2010-2020</t>
  </si>
  <si>
    <t>Value of carbon storage- Community based forest governance at a social cost of carbon of 80.9 USD/tC in the period 2010-2020</t>
  </si>
  <si>
    <t>Value of carbon storage- Individual based forest governance at a social cost of carbon of 31.4 USD/tC in the period 2010-2020</t>
  </si>
  <si>
    <t>Value of carbon storage- Individual based forest governance at a social cost of carbon of 50 USD/tC in the period 2010-2020</t>
  </si>
  <si>
    <t>Value of carbon storage- Individual based forest governance at a social cost of carbon of 80.9 USD/tC in the period 2010-2020</t>
  </si>
  <si>
    <t>Value divided by 10 for annual value and divided by area</t>
  </si>
  <si>
    <t>Value of water supply for hydropower production- State based forest governance- Watershed 1</t>
  </si>
  <si>
    <t>Value of water supply for hydropower production- Communtity based forest governance- Watershed 1</t>
  </si>
  <si>
    <t>Value of water supply for hydropower production- Individual based forest governance- Watershed 1</t>
  </si>
  <si>
    <t>Value of water supply for hydropower production- State based forest governance- Watershed 2</t>
  </si>
  <si>
    <t>Value of water supply for hydropower production- Communtity based forest governance- Watershed 2</t>
  </si>
  <si>
    <t>Value of water supply for hydropower production- Individual based forest governance- Watershed 2</t>
  </si>
  <si>
    <t>Value of water supply for hydropower production- State based forest governance- Watershed 3</t>
  </si>
  <si>
    <t>Value of water supply for hydropower production- Communtity based forest governance- Watershed 3</t>
  </si>
  <si>
    <t>Value of water supply for hydropower production- Individual based forest governance- Watershed 3</t>
  </si>
  <si>
    <t>Value of water supply for hydropower production- State based forest governance- Watershed 4</t>
  </si>
  <si>
    <t>Value of water supply for hydropower production- Communtity based forest governance- Watershed 4</t>
  </si>
  <si>
    <t>Value of water supply for hydropower production- Individual based forest governance- Watershed 4</t>
  </si>
  <si>
    <t>Table 5 for total water yield divided by water yield per hectare (9271m3/ha- Page 7, Section 4.2.1)</t>
  </si>
  <si>
    <t>Net present value of acacia mangium and canarium album under the business as usual scenario- 3% interest rate</t>
  </si>
  <si>
    <t>Net present value of acacia mangium and canarium album under the business as usual scenario- 5% interest rate</t>
  </si>
  <si>
    <t>Net present value of acacia mangium and canarium album under the business as usual scenario-7% interest rate</t>
  </si>
  <si>
    <t>Net present value of reforestation of acacia mangium under Scenario 1- 3% interest rate</t>
  </si>
  <si>
    <t>Net present value of reforestation of acacia mangium under Scenario 1- 5% interest rate</t>
  </si>
  <si>
    <t>Net present value of reforestation of acacia mangium under Scenario 1- 7% interest rate</t>
  </si>
  <si>
    <t>Net present value of acacia mangium and canarium album under Scenario 1- 3% interest rate</t>
  </si>
  <si>
    <t>Net present value of acacia mangium and canarium album under Scenario 1- 5% interest rate</t>
  </si>
  <si>
    <t>Net present value of acacia mangium and canarium album under Scenario 1-7% interest rate</t>
  </si>
  <si>
    <t>Net present value of reforestation of acacia mangium under Scenario 2- 3% interest rate</t>
  </si>
  <si>
    <t>Net present value of reforestation of acacia mangium under Scenario 2- 5% interest rate</t>
  </si>
  <si>
    <t>Net present value of reforestation of acacia mangium under Scenario 2- 7% interest rate</t>
  </si>
  <si>
    <t>Net present value of acacia mangium and canarium album under Scenario 2- 3% interest rate</t>
  </si>
  <si>
    <t>Net present value of acacia mangium and canarium album under Scenario 2- 5% interest rate</t>
  </si>
  <si>
    <t>Net present value of acacia mangium and canarium album under Scenario 2-7% interest rate</t>
  </si>
  <si>
    <t>Net present value of reforestation of acacia mangium under Scenario 3- 3% interest rate</t>
  </si>
  <si>
    <t>Net present value of reforestation of acacia mangium under Scenario 3- 5% interest rate</t>
  </si>
  <si>
    <t>Net present value of reforestation of acacia mangium under Scenario 3- 7% interest rate</t>
  </si>
  <si>
    <t>Net present value of acacia mangium and canarium album under Scenario 3- 3% interest rate</t>
  </si>
  <si>
    <t>Net present value of acacia mangium and canarium album under Scenario 3- 5% interest rate</t>
  </si>
  <si>
    <t>Net present value of acacia mangium and canarium album under Scenario 3-7% interest rate</t>
  </si>
  <si>
    <t>Net present value of reforestation of acacia mangium under Scenario 4- 3% interest rate</t>
  </si>
  <si>
    <t>Net present value of reforestation of acacia mangium under Scenario 4- 5% interest rate</t>
  </si>
  <si>
    <t>Net present value of reforestation of acacia mangium under Scenario 4- 7% interest rate</t>
  </si>
  <si>
    <t>Net present value of acacia mangium and canarium album under Scenario 4- 3% interest rate</t>
  </si>
  <si>
    <t>Net present value of acacia mangium and canarium album under Scenario 4- 5% interest rate</t>
  </si>
  <si>
    <t>Net present value of acacia mangium and canarium album under Scenario 4-7% interest rate</t>
  </si>
  <si>
    <t>-BAU- labour wage and timber price are unchanged
Years 2006-2010</t>
  </si>
  <si>
    <t>-BAU- labour wage and timber price are unchanged
Years 2006-2011</t>
  </si>
  <si>
    <t>-BAU- labour wage and timber price are unchanged
Years 2006-2012</t>
  </si>
  <si>
    <t>-BAU- labour wage and timber price are unchanged
Years 2006-2013</t>
  </si>
  <si>
    <t>-BAU- labour wage and timber price are unchanged
Years 2006-2014</t>
  </si>
  <si>
    <t>-BAU- labour wage and timber price are unchanged
Years 2006-2015</t>
  </si>
  <si>
    <t>Scenario 1- Labour wage increases annually by 5% and timber price remains unchanged
Years 2006-2010</t>
  </si>
  <si>
    <t>Scenario 1- Labour wage increases annually by 5% and timber price remains unchanged
Years 2006-2011</t>
  </si>
  <si>
    <t>Scenario 1- Labour wage increases annually by 5% and timber price remains unchanged
Years 2006-2012</t>
  </si>
  <si>
    <t>Scenario 1- Labour wage increases annually by 5% and timber price remains unchanged
Years 2006-2013</t>
  </si>
  <si>
    <t>Scenario 1- Labour wage increases annually by 5% and timber price remains unchanged
Years 2006-2014</t>
  </si>
  <si>
    <t>Scenario 1- Labour wage increases annually by 5% and timber price remains unchanged
Years 2006-2015</t>
  </si>
  <si>
    <t>Scenario 2- labour wage increases annually by 5% and timber prices increases by 20%
Years 2006-2010</t>
  </si>
  <si>
    <t>Scenario 2- labour wage increases annually by 5% and timber prices increases by 20%
Years 2006-2011</t>
  </si>
  <si>
    <t>Scenario 2- labour wage increases annually by 5% and timber prices increases by 20%
Years 2006-2012</t>
  </si>
  <si>
    <t>Scenario 2- labour wage increases annually by 5% and timber prices increases by 20%
Years 2006-2013</t>
  </si>
  <si>
    <t>Scenario 2- labour wage increases annually by 5% and timber prices increases by 20%
Years 2006-2014</t>
  </si>
  <si>
    <t>Scenario 2- labour wage increases annually by 5% and timber prices increases by 20%
Years 2006-2015</t>
  </si>
  <si>
    <t>Scenario 3- labour wage increases annually by 5% and timber price decreases by 20%
Years 2006-2010</t>
  </si>
  <si>
    <t>Scenario 3- labour wage increases annually by 5% and timber price decreases by 20%
Years 2006-2011</t>
  </si>
  <si>
    <t>Scenario 3- labour wage increases annually by 5% and timber price decreases by 20%
Years 2006-2012</t>
  </si>
  <si>
    <t>Scenario 3- labour wage increases annually by 5% and timber price decreases by 20%
Years 2006-2013</t>
  </si>
  <si>
    <t>Scenario 3- labour wage increases annually by 5% and timber price decreases by 20%
Years 2006-2014</t>
  </si>
  <si>
    <t>Scenario 3- labour wage increases annually by 5% and timber price decreases by 20%
Years 2006-2015</t>
  </si>
  <si>
    <t>Scenario 4- labour wage increases annually by 10% and timber price increases by 50%
Years 2006-2010</t>
  </si>
  <si>
    <t>Scenario 4- labour wage increases annually by 10% and timber price increases by 50%
Years 2006-2011</t>
  </si>
  <si>
    <t>Scenario 4- labour wage increases annually by 10% and timber price increases by 50%
Years 2006-2012</t>
  </si>
  <si>
    <t>Scenario 4- labour wage increases annually by 10% and timber price increases by 50%
Years 2006-2013</t>
  </si>
  <si>
    <t>Scenario 4- labour wage increases annually by 10% and timber price increases by 50%
Years 2006-2014</t>
  </si>
  <si>
    <t>Scenario 4- labour wage increases annually by 10% and timber price increases by 50%
Years 2006-2015</t>
  </si>
  <si>
    <t>Land economic value for household managed plantations with timber and non-timber forest products- Rotation of 37 years</t>
  </si>
  <si>
    <t>Land economic value for household managed plantations with timber and non-timber forest products-Rotation of 37 years</t>
  </si>
  <si>
    <t xml:space="preserve">Value divided by number of years of the timber rotation </t>
  </si>
  <si>
    <t>Giao Thien population- 9664
Giao An population- 8766
Giao Xuan population- 9157
Giao Hai population- 6036
Giao Lac population-9412
https://www.citypopulation.de/en/vietnam/namdinh/admin/365__giao_th%E1%BB%A7y/
Average household size: Section 3.1, https://www.frontiersin.org/articles/10.3389/fsoc.2021.763743/full</t>
  </si>
  <si>
    <t>Marginal willingness to pay for protection against storms with a loss of VND 300 billion</t>
  </si>
  <si>
    <t>Page 351, Sum of the Ba Lat Estuary's core zone(7100 ha) and buffer zone (8000 ha)</t>
  </si>
  <si>
    <t xml:space="preserve">Willingness to accept for Scenario 1- Contract to establish a plantation. Respondents would be able to harvest the timber once the trees had reached an appropriate size and sell it by existing formal procedures and regulations. Households would keep all profits but would be required to replant the plot for at least one more full rotation. One time payment. </t>
  </si>
  <si>
    <t>Willingness to accept for Scenario 1- Contract to establish a plantation. Respondents would be able to harvest the timber once the trees had reached an appropriate size and sell it by existing formal procedures and regulations. Households would keep all profits but would be required to replant the plot for at least one more full rotation. One time payment</t>
  </si>
  <si>
    <t>Page 327, Study Site</t>
  </si>
  <si>
    <t>Table 152, Data collection and sampling- Sum of areas</t>
  </si>
  <si>
    <t>Total willingness to pay for households for mangrove restoration per year</t>
  </si>
  <si>
    <t>Service area calculated by dividing total willingness to pay per year and total willingness to pay per hectare</t>
  </si>
  <si>
    <t>Payment for forest protection contract for days worked patrolling the forest- Higher range in Village C</t>
  </si>
  <si>
    <t>Payment for forest protection contract for days worked patrolling the forest- Lower range in Village A</t>
  </si>
  <si>
    <t>VND/household/day</t>
  </si>
  <si>
    <t>Did not have data to calculate per hectare value</t>
  </si>
  <si>
    <t>Table 76, Results Section</t>
  </si>
  <si>
    <t>Page 8, Costs and benefits of PFES participation</t>
  </si>
  <si>
    <t>Page 6, Methods for estimating change in forest cover and NDVI</t>
  </si>
  <si>
    <t>VND/0.83ha/yr</t>
  </si>
  <si>
    <t>Value divided by farm area</t>
  </si>
  <si>
    <t>Mean farm size- 3.12ha
Direct market pricing and benefit transfer</t>
  </si>
  <si>
    <t>Mean farm size- 0.83
Direct market pricing and benefit transfer</t>
  </si>
  <si>
    <t>Value of swidden forest derived income- High income household</t>
  </si>
  <si>
    <t>Value of swidden forest derived income- Moderate income household</t>
  </si>
  <si>
    <t>Value of swidden forest derived income-Low income household</t>
  </si>
  <si>
    <t>Value of swidden forest derived income- Very low income household</t>
  </si>
  <si>
    <t>Value of timber forest derived income- High income household</t>
  </si>
  <si>
    <t>Value of timber forest derived income- Moderate income household</t>
  </si>
  <si>
    <t>Value of timber forest derived income-Low income household</t>
  </si>
  <si>
    <t>Value of timber forest derived income- Very low income household</t>
  </si>
  <si>
    <t>Value of non-timber forest derived income- High income household</t>
  </si>
  <si>
    <t>Value of non-timber forest derived income-Low income household</t>
  </si>
  <si>
    <t>Value of income from paddy- High income household</t>
  </si>
  <si>
    <t>Value of income from paddy-Low income household</t>
  </si>
  <si>
    <t>Value of income from livestock- High income household</t>
  </si>
  <si>
    <t>Value of income from livestock-Low income household</t>
  </si>
  <si>
    <t>Value of income from livestock- Very low income household</t>
  </si>
  <si>
    <t>Value of non-timber forest derived income- Moderate income household</t>
  </si>
  <si>
    <t>Value of income from paddy- Moderate income household</t>
  </si>
  <si>
    <t>Could not calculate per hectare value as the fish was obtained from outside the farm area</t>
  </si>
  <si>
    <t>Could not calculate per hectare value as forest area was not available</t>
  </si>
  <si>
    <t>Value of income from livestock- Moderate income household</t>
  </si>
  <si>
    <t>Assumed that the area that livestock reside on the farm is the area of the forest allocated to the household</t>
  </si>
  <si>
    <t>Net present value 5% discount rate- Combination of Acacia, Chukrasia, Tarrietia, Hopea plantation</t>
  </si>
  <si>
    <t>Net present value 5% discount rate- Combination of Acacia, Sindora, Dipterocarpis plantation</t>
  </si>
  <si>
    <t>Net present value 5% discount rate- Acacia plantation</t>
  </si>
  <si>
    <t>Page 22, Section 2.1</t>
  </si>
  <si>
    <t>Page 6- allocation of land per household</t>
  </si>
  <si>
    <t>USD/ha/December-May</t>
  </si>
  <si>
    <t>USD/ha/June-November</t>
  </si>
  <si>
    <t>Page 556</t>
  </si>
  <si>
    <t>The slow loris trade is illegal
Did not have data to calculate per hectare value</t>
  </si>
  <si>
    <t>Total payments for forest ecosystem services collected from users</t>
  </si>
  <si>
    <t>Thuy, P. T., Thuy, L. T. T., Kdam, T. H. N., Van Truong, P., Kdam, T. P. H. N., Dung, T. T., Hoa, T. N. M., Anh, N. T. T., &amp; Van Anh, N. T.</t>
  </si>
  <si>
    <t xml:space="preserve">Impacts of payment for forest ecosystem services in protecting forests in dak lak province, vietnam. </t>
  </si>
  <si>
    <t>Thuy, P. T., Thuy, L. T. T., Kdam, T. H. N., Van Truong, P., Kdam, T. P. H. N., Dung, T. T., Hoa, T. N. M., Anh, N. T. T., &amp; Van Anh, N. T. (2021). Impacts of payment for forest ecosystem services in protecting forests in dak lak province, vietnam. Forests, 12(10). Scopus</t>
  </si>
  <si>
    <t>https://doi.org/10.3390/f12101383</t>
  </si>
  <si>
    <t>Value for both seasons added to get annual value</t>
  </si>
  <si>
    <t>Table 2- Total agricultural area divided by number of households</t>
  </si>
  <si>
    <t>Page 586- 'PES revenue helped to protect four million ha of forest'</t>
  </si>
  <si>
    <t>Page 206, Section 4.4.1- Total value divided by per hectare value</t>
  </si>
  <si>
    <t>Number of villages (3- Page 577) multiplied by number of households in each village (150- Page 575)</t>
  </si>
  <si>
    <t>Income per household from agriculture from the Ben En National Park</t>
  </si>
  <si>
    <t>Income per household from livestock from the Ben En National Park</t>
  </si>
  <si>
    <t>Income per household from nonmedicinal useful plants from the Ben En National Park</t>
  </si>
  <si>
    <t>Income per household from medicinal plants from the Ben En National Park</t>
  </si>
  <si>
    <t>Page 577- Sum of secondary forest, poor forest lands, bare land and plantation forest</t>
  </si>
  <si>
    <t>Page 577- Agricultural land divided by number of households in the area</t>
  </si>
  <si>
    <t>Payment for environmental services from the Nam Mau Canoe Union</t>
  </si>
  <si>
    <t>Page 63</t>
  </si>
  <si>
    <t>Page 25, Section 6</t>
  </si>
  <si>
    <t>Willingness to pay for non-use values of the mangroves in the Xuan Thuy National Park</t>
  </si>
  <si>
    <t>Muthoka, N. M., Kiuru, P. D. N., &amp; Ndungu, B. W.</t>
  </si>
  <si>
    <t>The economic value of a macadamia nut orchard in the central province of Kenya.</t>
  </si>
  <si>
    <t xml:space="preserve">Muthoka, N. M., Kiuru, P. D. N., &amp; Ndungu, B. W. (2008). The economic value of a macadamia nut orchard in the central province of Kenya. Acta Horticulturae, 772, 295–298. Scopus. </t>
  </si>
  <si>
    <t>https://doi.org/10.17660/ActaHortic.2008.772.48</t>
  </si>
  <si>
    <t>USD/farm/year</t>
  </si>
  <si>
    <t>Gross margin for earthen pond grouper aquaculture farms in Central Vietnam</t>
  </si>
  <si>
    <t>Khanh Hoa Province</t>
  </si>
  <si>
    <t>Value per farm divided by area of farm</t>
  </si>
  <si>
    <t>Dennis, L. P., Ashford, G., Thai, T. Q., Van In, V., Ninh, N. H., &amp; Elizur, A.</t>
  </si>
  <si>
    <t xml:space="preserve">Hybrid grouper in Vietnamese aquaculture: Production approaches and profitability of a promising new crop. </t>
  </si>
  <si>
    <t xml:space="preserve">Dennis, L. P., Ashford, G., Thai, T. Q., Van In, V., Ninh, N. H., &amp; Elizur, A. (2020). Hybrid grouper in Vietnamese aquaculture: Production approaches and profitability of a promising new crop. Aquaculture, 522. Scopus. </t>
  </si>
  <si>
    <t>https://doi.org/10.1016/j.aquaculture.2020.735108</t>
  </si>
  <si>
    <t>Page 567</t>
  </si>
  <si>
    <t>Payments from the government for forest protection</t>
  </si>
  <si>
    <t>Huang, M., Upadhyaya, S. K., Jindal, R., &amp; Kerr, J.</t>
  </si>
  <si>
    <t>Payments for watershed services in Asia: A review of current initiatives.</t>
  </si>
  <si>
    <t xml:space="preserve">Huang, M., Upadhyaya, S. K., Jindal, R., &amp; Kerr, J. (2009). Payments for watershed services in Asia: A review of current initiatives. Journal of Sustainable Forestry, 28(3–5), 551–575. Scopus. </t>
  </si>
  <si>
    <t>https://doi.org/10.1080/10549810902794287</t>
  </si>
  <si>
    <t>Bang Lung Commune, Cho Don District, Bac Kan Province</t>
  </si>
  <si>
    <t>An Phu Commune, Kinh Mon District, Hai Duong Province</t>
  </si>
  <si>
    <t>Baseline year- Average gross income per household from underused crops (Bo Khai, Rau Sang and Taro)</t>
  </si>
  <si>
    <t>Baseline year- Average gross income per household from underused crops (Hoa Vang sticky rice)</t>
  </si>
  <si>
    <t>Jaenicke, H., Ghose, N., Hung, N. Q., The Anh, D., &amp; Daniel, J. N.</t>
  </si>
  <si>
    <t>Diversifying income opportunities with underused crops.</t>
  </si>
  <si>
    <t xml:space="preserve">Jaenicke, H., Ghose, N., Hung, N. Q., The Anh, D., &amp; Daniel, J. N. (2013). Diversifying income opportunities with underused crops. Acta Horticulturae, 979, 277–284. Scopus. </t>
  </si>
  <si>
    <t>https://doi.org/10.17660/ActaHortic.2013.979.29</t>
  </si>
  <si>
    <t>Truong Son Commune</t>
  </si>
  <si>
    <t>Page 145, Section 2.1- NTFPs are collected from 36% of total forest area in the commune</t>
  </si>
  <si>
    <t>VND/householdyr</t>
  </si>
  <si>
    <t>Cash income from agriculture</t>
  </si>
  <si>
    <t>Cash income from other forestry activities- money from fees from forest protection and money from selling timber of acacia forest plantation</t>
  </si>
  <si>
    <t xml:space="preserve">Method-Survey </t>
  </si>
  <si>
    <t>Cash income from non-timber forest products including bamboo shoots, construction materials, raw materials for handicrafts, fuelwood and medicinal plants</t>
  </si>
  <si>
    <t>Average land area for each household- Table 2</t>
  </si>
  <si>
    <t>Page 146-147, Section 2.2.1
Total number of households calculated by dividing the number of households in the sample by the percentage of households in the sample in relation to the total number of households in the area</t>
  </si>
  <si>
    <t xml:space="preserve">Value divided by area of land for each household </t>
  </si>
  <si>
    <t>Page 145, Section 2.1- Size of acacia plantation</t>
  </si>
  <si>
    <t xml:space="preserve">Value divided by area of land  </t>
  </si>
  <si>
    <t>Le, H. D., &amp; Nguyen, T. T. K.</t>
  </si>
  <si>
    <t xml:space="preserve">The contribution of non-timber forest products to the livelihoods of forest-dependent people: A case study in Hoa Binh province, Vietnam. </t>
  </si>
  <si>
    <t xml:space="preserve">Le, H. D., &amp; Nguyen, T. T. K. (2020). The contribution of non-timber forest products to the livelihoods of forest-dependent people: A case study in Hoa Binh province, Vietnam. Forests Trees and Livelihoods, 29(3), 143–157. </t>
  </si>
  <si>
    <t>https://doi.org/10.1080/14728028.2020.1770131</t>
  </si>
  <si>
    <t>Langbiang Biosphere Reserve</t>
  </si>
  <si>
    <t>Budget for payments for ecosystem services in Lanbiang Biosphere Reserve</t>
  </si>
  <si>
    <t>Figure 3</t>
  </si>
  <si>
    <t>Figure 1</t>
  </si>
  <si>
    <t>Ton, T. M., Le, V. T., &amp; Pham, N. D. H.</t>
  </si>
  <si>
    <t>Implementing payment environmental services in Langbiang Biosphere Reserve, Vietnam.</t>
  </si>
  <si>
    <t xml:space="preserve">Ton, T. M., Le, V. T., &amp; Pham, N. D. H. (2022). Implementing payment environmental services in Langbiang Biosphere Reserve, Vietnam. International Journal of Agricultural Technology, 18(2), 901–906. </t>
  </si>
  <si>
    <t>Vinh Chau town, Soc Trang Province</t>
  </si>
  <si>
    <t>Bac Lieu Province</t>
  </si>
  <si>
    <t>Net revenue from Artemia (brine shrimp) farms</t>
  </si>
  <si>
    <t>Table 1- pond area</t>
  </si>
  <si>
    <t>Total revenue from Artemia (brine shrimp) farms</t>
  </si>
  <si>
    <t xml:space="preserve">Vinh, N. P., Huang, C. T., Hieu, T. K., &amp; Hsiao, Y. J. </t>
  </si>
  <si>
    <t>Economic evaluation for improving productivity of brine shrimp Artemia franciscana culture in the Mekong Delta, Vietnam.</t>
  </si>
  <si>
    <t xml:space="preserve">Vinh, N. P., Huang, C. T., Hieu, T. K., &amp; Hsiao, Y. J. (2020). Economic evaluation for improving productivity of brine shrimp Artemia franciscana culture in the Mekong Delta, Vietnam. Aquaculture, 526. Scopus. </t>
  </si>
  <si>
    <t>https://doi.org/10.1016/j.aquaculture.2020.735425</t>
  </si>
  <si>
    <t>Net benefit obtained by control farmers from rice production</t>
  </si>
  <si>
    <t>Net benefit obtained by control farmers from wild and cultured fish production</t>
  </si>
  <si>
    <t>Vu Ban district, Nam Dinh Province, Red River Delta</t>
  </si>
  <si>
    <t>Trap Muoi district, Dong Thap Province, Mekong River Delta</t>
  </si>
  <si>
    <t>Net benefit obtained by farmers from rice production- Concurrent rice-fish culture</t>
  </si>
  <si>
    <t>Net benefit obtained by project farmers from wild and cultured fish production- Concurrent rice-fish culture</t>
  </si>
  <si>
    <t>Net benefit obtained by project farmers from rice production- Concurrent rice-fish culture</t>
  </si>
  <si>
    <t>Dey, M. M., Prein, M., Haque, A. B. M. M., Sultana, P., Dan, N. C., &amp; Van Hao, N.</t>
  </si>
  <si>
    <t>Economic feasibility of community-based fish culture in seasonally flooded rice fields in Bangladesh and Vietnam.</t>
  </si>
  <si>
    <t xml:space="preserve">Dey, M. M., Prein, M., Haque, A. B. M. M., Sultana, P., Dan, N. C., &amp; Van Hao, N. (2005). Economic feasibility of community-based fish culture in seasonally flooded rice fields in Bangladesh and Vietnam. Aquaculture Economics and Management, 9(1–2), 65–88. Scopus. </t>
  </si>
  <si>
    <t>https://doi.org/10.1080/13657300590961591</t>
  </si>
  <si>
    <t xml:space="preserve">USD </t>
  </si>
  <si>
    <t>USD 2022</t>
  </si>
  <si>
    <t>Conversion Rate</t>
  </si>
  <si>
    <t>Per hectare value available</t>
  </si>
  <si>
    <t>Did not have data to calculate per hectare values
Could not find year of validation</t>
  </si>
  <si>
    <t>Year</t>
  </si>
  <si>
    <t>Vietnam Exchange Rate</t>
  </si>
  <si>
    <t>SOURCE: https://data.worldbank.org/indicator/PA.NUS.FCRF</t>
  </si>
  <si>
    <t>Jan</t>
  </si>
  <si>
    <t>Feb</t>
  </si>
  <si>
    <t>Mar</t>
  </si>
  <si>
    <t>Apr</t>
  </si>
  <si>
    <t>May</t>
  </si>
  <si>
    <t>June</t>
  </si>
  <si>
    <t>July</t>
  </si>
  <si>
    <t>Aug</t>
  </si>
  <si>
    <t>Sep</t>
  </si>
  <si>
    <t>Oct</t>
  </si>
  <si>
    <t>Nov</t>
  </si>
  <si>
    <t>Dec</t>
  </si>
  <si>
    <t>SOURCE: https://www.usinflationcalculator.com/inflation/consumer-price-index-and-annual-percent-changes-from-1913-to-2008/</t>
  </si>
  <si>
    <t>CPI Value in Year of Validation</t>
  </si>
  <si>
    <t>Annual Average</t>
  </si>
  <si>
    <t>Echange Rate-Kenyan Shillings to United States Dollar</t>
  </si>
  <si>
    <t>Echange Rate-Vietnamese Dong to United States Dollar</t>
  </si>
  <si>
    <t>Consumer Price Index</t>
  </si>
  <si>
    <t>Cultural</t>
  </si>
  <si>
    <t>PROVISIONING SERVICES</t>
  </si>
  <si>
    <t>REGULATING</t>
  </si>
  <si>
    <t>HABITAT</t>
  </si>
  <si>
    <t>CULTURAL</t>
  </si>
  <si>
    <t>Total</t>
  </si>
  <si>
    <t>Life cycles</t>
  </si>
  <si>
    <t>Genetic Diversity</t>
  </si>
  <si>
    <t>Cultural values [general]</t>
  </si>
  <si>
    <t>Provisioning values [general]</t>
  </si>
  <si>
    <t>ADDITIONAL AND GENERAL</t>
  </si>
  <si>
    <t>Number of Observations</t>
  </si>
  <si>
    <t>Ecosystem Services</t>
  </si>
  <si>
    <t>Total Number of Observations</t>
  </si>
  <si>
    <t>https://ycharts.com/indicators/us_consumer_price_index_forecast</t>
  </si>
  <si>
    <t>Food provision</t>
  </si>
  <si>
    <t>Models</t>
  </si>
  <si>
    <t>Test-organisms</t>
  </si>
  <si>
    <t>Fashion</t>
  </si>
  <si>
    <t>UVb-protection</t>
  </si>
  <si>
    <t>Food [general]</t>
  </si>
  <si>
    <t>Water supply [general]</t>
  </si>
  <si>
    <t>Raw materials [general]</t>
  </si>
  <si>
    <t>Sand, rock, gravel, coral etc</t>
  </si>
  <si>
    <t>Provisioning of Raw materials provision</t>
  </si>
  <si>
    <t>Provisioning of Genetic resources</t>
  </si>
  <si>
    <t>Genetic resources [general]</t>
  </si>
  <si>
    <t>Provisioning of Medical resources</t>
  </si>
  <si>
    <t>Provisioning of ornamental resources</t>
  </si>
  <si>
    <t>Decorative plants</t>
  </si>
  <si>
    <t>Pets and captive animals</t>
  </si>
  <si>
    <t>Influence on air quality</t>
  </si>
  <si>
    <t>Air quality regulation [general]</t>
  </si>
  <si>
    <t>Climate regulation [general]</t>
  </si>
  <si>
    <t>Moderation of extreme events</t>
  </si>
  <si>
    <t>Fire prevention</t>
  </si>
  <si>
    <t>Prevention of extreme events [general]</t>
  </si>
  <si>
    <t>Regulation of water flows</t>
  </si>
  <si>
    <t>Water regulation [general]</t>
  </si>
  <si>
    <t>Waste treatment and water purification</t>
  </si>
  <si>
    <t>Abatement of noise</t>
  </si>
  <si>
    <t>Waste treatment [general]</t>
  </si>
  <si>
    <t>Maintenance of soil fertility</t>
  </si>
  <si>
    <t>Maintenance of soil fertility [general]</t>
  </si>
  <si>
    <t>Pollination of wild plants</t>
  </si>
  <si>
    <t>Pollination [general]</t>
  </si>
  <si>
    <t>Biological control</t>
  </si>
  <si>
    <t>Biological Control [general]</t>
  </si>
  <si>
    <t>Lifecycle maintenance (esp. nursery service)</t>
  </si>
  <si>
    <t>Protection of gene pool (conservation)</t>
  </si>
  <si>
    <t>Aesthetic information</t>
  </si>
  <si>
    <t>Opportunities for recreation and tourism</t>
  </si>
  <si>
    <t>Hunting and fishing</t>
  </si>
  <si>
    <t>Inspiration for culture, art and design</t>
  </si>
  <si>
    <t>Inspiration [general]</t>
  </si>
  <si>
    <t>Spiritual experience</t>
  </si>
  <si>
    <t>Information for cognitive development (Education and science)</t>
  </si>
  <si>
    <t>Cognitive [general]</t>
  </si>
  <si>
    <t>Various ecosystem services</t>
  </si>
  <si>
    <t>Other ESS than any of the above</t>
  </si>
  <si>
    <t>Provision of durable/sustainable Energy</t>
  </si>
  <si>
    <t>Solar energy</t>
  </si>
  <si>
    <t>Wind energy</t>
  </si>
  <si>
    <t>Other energy</t>
  </si>
  <si>
    <t>Thermal energy</t>
  </si>
  <si>
    <t>All or some cultural values combined or unspecified</t>
  </si>
  <si>
    <t>All or some provisioning values combined or unspecified</t>
  </si>
  <si>
    <t>All or some regulating values combined or unspecified</t>
  </si>
  <si>
    <t>Regulating [general]</t>
  </si>
  <si>
    <t>All or some habitat values combined or unspecified</t>
  </si>
  <si>
    <t>Supporting [general]</t>
  </si>
  <si>
    <t xml:space="preserve">Water supply  </t>
  </si>
  <si>
    <t>Cultural values</t>
  </si>
  <si>
    <t>Provisioning values</t>
  </si>
  <si>
    <t>Payments from industrial manufacturing companies for regulation and maintenance of water sources for used for production</t>
  </si>
  <si>
    <t>Regulating values</t>
  </si>
  <si>
    <t xml:space="preserve">Total </t>
  </si>
  <si>
    <t>Total- Kenya</t>
  </si>
  <si>
    <t>Total- Vietnam</t>
  </si>
  <si>
    <t>Average Value-Vietnam</t>
  </si>
  <si>
    <t>Average value- Kenya</t>
  </si>
  <si>
    <t>Ecosystem sub-service</t>
  </si>
  <si>
    <t>Ecosystem sub-service values (USD2022/ha/yr)</t>
  </si>
  <si>
    <t>Average Value- Vietnam</t>
  </si>
  <si>
    <t>Average Value- Kenya</t>
  </si>
  <si>
    <t>Ecosystem Service Values (USD2022/ha/yr)</t>
  </si>
  <si>
    <t>Ecosystem services</t>
  </si>
</sst>
</file>

<file path=xl/styles.xml><?xml version="1.0" encoding="utf-8"?>
<styleSheet xmlns="http://purl.oclc.org/ooxml/spreadsheetml/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 #,##0.00_-;_-* &quot;-&quot;??_-;_-@_-"/>
  </numFmts>
  <fonts count="21" x14ac:knownFonts="1">
    <font>
      <sz val="10"/>
      <name val="MS Sans Serif"/>
    </font>
    <font>
      <sz val="11"/>
      <color theme="1"/>
      <name val="Calibri"/>
      <family val="2"/>
      <scheme val="minor"/>
    </font>
    <font>
      <u/>
      <sz val="10"/>
      <color indexed="12"/>
      <name val="MS Sans Serif"/>
      <family val="2"/>
    </font>
    <font>
      <sz val="8"/>
      <name val="MS Sans Serif"/>
      <family val="2"/>
    </font>
    <font>
      <b/>
      <sz val="12"/>
      <name val="Calibri"/>
      <family val="2"/>
    </font>
    <font>
      <sz val="12"/>
      <name val="Calibri"/>
      <family val="2"/>
    </font>
    <font>
      <u/>
      <sz val="12"/>
      <color indexed="12"/>
      <name val="Calibri"/>
      <family val="2"/>
      <scheme val="minor"/>
    </font>
    <font>
      <b/>
      <sz val="10"/>
      <name val="Calibri"/>
      <family val="2"/>
      <scheme val="minor"/>
    </font>
    <font>
      <sz val="10"/>
      <name val="Calibri"/>
      <family val="2"/>
      <scheme val="minor"/>
    </font>
    <font>
      <i/>
      <sz val="10"/>
      <name val="Calibri"/>
      <family val="2"/>
      <scheme val="minor"/>
    </font>
    <font>
      <sz val="8"/>
      <name val="MS Sans Serif"/>
    </font>
    <font>
      <sz val="10"/>
      <color theme="1"/>
      <name val="Calibri"/>
      <family val="2"/>
      <scheme val="minor"/>
    </font>
    <font>
      <sz val="11"/>
      <name val="Calibri"/>
      <family val="2"/>
      <scheme val="minor"/>
    </font>
    <font>
      <u/>
      <sz val="10"/>
      <name val="Calibri"/>
      <family val="2"/>
      <scheme val="minor"/>
    </font>
    <font>
      <sz val="10"/>
      <color rgb="FF4D5156"/>
      <name val="Calibri"/>
      <family val="2"/>
      <scheme val="minor"/>
    </font>
    <font>
      <sz val="10"/>
      <name val="MS Sans Serif"/>
    </font>
    <font>
      <sz val="11"/>
      <color rgb="FF2B2B2B"/>
      <name val="Calibri"/>
      <family val="2"/>
      <scheme val="minor"/>
    </font>
    <font>
      <b/>
      <sz val="11"/>
      <color rgb="FF2B2B2B"/>
      <name val="Calibri"/>
      <family val="2"/>
      <scheme val="minor"/>
    </font>
    <font>
      <i/>
      <sz val="11"/>
      <color rgb="FF2B2B2B"/>
      <name val="Calibri"/>
      <family val="2"/>
      <scheme val="minor"/>
    </font>
    <font>
      <b/>
      <sz val="11"/>
      <name val="Calibri"/>
      <family val="2"/>
      <scheme val="minor"/>
    </font>
    <font>
      <sz val="14"/>
      <color rgb="FF000000"/>
      <name val="Times New Roman"/>
      <family val="1"/>
    </font>
  </fonts>
  <fills count="3">
    <fill>
      <patternFill patternType="none"/>
    </fill>
    <fill>
      <patternFill patternType="gray125"/>
    </fill>
    <fill>
      <patternFill patternType="solid">
        <fgColor indexed="22"/>
        <bgColor indexed="64"/>
      </patternFill>
    </fill>
  </fills>
  <borders count="22">
    <border>
      <start/>
      <end/>
      <top/>
      <bottom/>
      <diagonal/>
    </border>
    <border>
      <start style="medium">
        <color indexed="64"/>
      </start>
      <end/>
      <top style="medium">
        <color indexed="64"/>
      </top>
      <bottom/>
      <diagonal/>
    </border>
    <border>
      <start/>
      <end/>
      <top style="medium">
        <color indexed="64"/>
      </top>
      <bottom/>
      <diagonal/>
    </border>
    <border>
      <start style="medium">
        <color indexed="64"/>
      </start>
      <end/>
      <top/>
      <bottom style="medium">
        <color indexed="64"/>
      </bottom>
      <diagonal/>
    </border>
    <border>
      <start/>
      <end style="medium">
        <color indexed="64"/>
      </end>
      <top/>
      <bottom style="medium">
        <color indexed="64"/>
      </bottom>
      <diagonal/>
    </border>
    <border>
      <start/>
      <end/>
      <top/>
      <bottom style="medium">
        <color indexed="64"/>
      </bottom>
      <diagonal/>
    </border>
    <border>
      <start style="medium">
        <color indexed="64"/>
      </start>
      <end/>
      <top style="medium">
        <color indexed="64"/>
      </top>
      <bottom style="medium">
        <color indexed="64"/>
      </bottom>
      <diagonal/>
    </border>
    <border>
      <start/>
      <end/>
      <top style="medium">
        <color indexed="64"/>
      </top>
      <bottom style="medium">
        <color indexed="64"/>
      </bottom>
      <diagonal/>
    </border>
    <border>
      <start/>
      <end style="medium">
        <color indexed="64"/>
      </end>
      <top style="medium">
        <color indexed="64"/>
      </top>
      <bottom style="medium">
        <color indexed="64"/>
      </bottom>
      <diagonal/>
    </border>
    <border>
      <start style="medium">
        <color indexed="64"/>
      </start>
      <end style="medium">
        <color indexed="64"/>
      </end>
      <top style="medium">
        <color indexed="64"/>
      </top>
      <bottom style="medium">
        <color indexed="64"/>
      </bottom>
      <diagonal/>
    </border>
    <border>
      <start/>
      <end/>
      <top/>
      <bottom style="thin">
        <color indexed="64"/>
      </bottom>
      <diagonal/>
    </border>
    <border>
      <start/>
      <end/>
      <top style="medium">
        <color indexed="64"/>
      </top>
      <bottom style="thin">
        <color indexed="64"/>
      </bottom>
      <diagonal/>
    </border>
    <border>
      <start/>
      <end style="medium">
        <color indexed="64"/>
      </end>
      <top style="medium">
        <color indexed="64"/>
      </top>
      <bottom style="thin">
        <color indexed="64"/>
      </bottom>
      <diagonal/>
    </border>
    <border>
      <start style="medium">
        <color indexed="64"/>
      </start>
      <end/>
      <top/>
      <bottom/>
      <diagonal/>
    </border>
    <border>
      <start/>
      <end style="medium">
        <color indexed="64"/>
      </end>
      <top/>
      <bottom/>
      <diagonal/>
    </border>
    <border>
      <start/>
      <end style="medium">
        <color indexed="64"/>
      </end>
      <top/>
      <bottom style="thin">
        <color indexed="64"/>
      </bottom>
      <diagonal/>
    </border>
    <border>
      <start style="medium">
        <color indexed="64"/>
      </start>
      <end style="medium">
        <color indexed="64"/>
      </end>
      <top/>
      <bottom/>
      <diagonal/>
    </border>
    <border>
      <start style="medium">
        <color indexed="64"/>
      </start>
      <end style="medium">
        <color indexed="64"/>
      </end>
      <top style="medium">
        <color indexed="64"/>
      </top>
      <bottom/>
      <diagonal/>
    </border>
    <border>
      <start/>
      <end style="thin">
        <color indexed="64"/>
      </end>
      <top/>
      <bottom/>
      <diagonal/>
    </border>
    <border>
      <start style="medium">
        <color indexed="64"/>
      </start>
      <end style="thin">
        <color indexed="64"/>
      </end>
      <top/>
      <bottom/>
      <diagonal/>
    </border>
    <border>
      <start/>
      <end style="medium">
        <color indexed="64"/>
      </end>
      <top style="medium">
        <color indexed="64"/>
      </top>
      <bottom/>
      <diagonal/>
    </border>
    <border>
      <start style="medium">
        <color indexed="64"/>
      </start>
      <end style="medium">
        <color indexed="64"/>
      </end>
      <top/>
      <bottom style="medium">
        <color indexed="64"/>
      </bottom>
      <diagonal/>
    </border>
  </borders>
  <cellStyleXfs count="5">
    <xf numFmtId="0" fontId="0" fillId="0" borderId="0"/>
    <xf numFmtId="0" fontId="2" fillId="0" borderId="0" applyNumberFormat="0" applyFill="0" applyBorder="0" applyAlignment="0" applyProtection="0"/>
    <xf numFmtId="0" fontId="1" fillId="0" borderId="0"/>
    <xf numFmtId="0" fontId="15" fillId="0" borderId="0"/>
    <xf numFmtId="164" fontId="1" fillId="0" borderId="0" applyFont="0" applyFill="0" applyBorder="0" applyAlignment="0" applyProtection="0"/>
  </cellStyleXfs>
  <cellXfs count="109">
    <xf numFmtId="0" fontId="0" fillId="0" borderId="0" xfId="0"/>
    <xf numFmtId="0" fontId="4" fillId="0" borderId="1" xfId="0" applyFont="1" applyBorder="1"/>
    <xf numFmtId="0" fontId="4" fillId="0" borderId="2" xfId="0" applyFont="1" applyBorder="1"/>
    <xf numFmtId="0" fontId="5" fillId="0" borderId="0" xfId="0" applyFont="1"/>
    <xf numFmtId="0" fontId="5" fillId="0" borderId="0" xfId="0" applyFont="1" applyAlignment="1">
      <alignment wrapText="1"/>
    </xf>
    <xf numFmtId="0" fontId="4" fillId="0" borderId="0" xfId="0" applyFont="1"/>
    <xf numFmtId="0" fontId="4" fillId="0" borderId="0" xfId="0" applyFont="1" applyAlignment="1">
      <alignment horizontal="right"/>
    </xf>
    <xf numFmtId="0" fontId="4" fillId="0" borderId="10" xfId="0" applyFont="1" applyBorder="1" applyAlignment="1">
      <alignment vertical="top"/>
    </xf>
    <xf numFmtId="0" fontId="4" fillId="0" borderId="0" xfId="0" applyFont="1" applyAlignment="1">
      <alignment vertical="top"/>
    </xf>
    <xf numFmtId="0" fontId="4" fillId="2" borderId="6" xfId="0" applyFont="1" applyFill="1" applyBorder="1"/>
    <xf numFmtId="0" fontId="4" fillId="2" borderId="7" xfId="0" applyFont="1" applyFill="1" applyBorder="1"/>
    <xf numFmtId="0" fontId="5" fillId="2" borderId="7" xfId="0" applyFont="1" applyFill="1" applyBorder="1"/>
    <xf numFmtId="0" fontId="4" fillId="2" borderId="8" xfId="0" applyFont="1" applyFill="1" applyBorder="1" applyAlignment="1">
      <alignment wrapText="1"/>
    </xf>
    <xf numFmtId="0" fontId="5" fillId="0" borderId="11" xfId="0" quotePrefix="1" applyFont="1" applyBorder="1"/>
    <xf numFmtId="0" fontId="5" fillId="0" borderId="12" xfId="0" applyFont="1" applyBorder="1" applyAlignment="1">
      <alignment wrapText="1"/>
    </xf>
    <xf numFmtId="0" fontId="4" fillId="0" borderId="3" xfId="0" applyFont="1" applyBorder="1"/>
    <xf numFmtId="0" fontId="4" fillId="0" borderId="5" xfId="0" applyFont="1" applyBorder="1"/>
    <xf numFmtId="0" fontId="5" fillId="0" borderId="5" xfId="0" quotePrefix="1" applyFont="1" applyBorder="1" applyAlignment="1">
      <alignment wrapText="1"/>
    </xf>
    <xf numFmtId="0" fontId="5" fillId="0" borderId="4" xfId="0" applyFont="1" applyBorder="1" applyAlignment="1">
      <alignment wrapText="1"/>
    </xf>
    <xf numFmtId="0" fontId="5" fillId="0" borderId="5" xfId="0" quotePrefix="1" applyFont="1" applyBorder="1"/>
    <xf numFmtId="0" fontId="4" fillId="0" borderId="13" xfId="0" applyFont="1" applyBorder="1"/>
    <xf numFmtId="0" fontId="5" fillId="0" borderId="0" xfId="0" quotePrefix="1" applyFont="1"/>
    <xf numFmtId="0" fontId="5" fillId="0" borderId="14" xfId="0" applyFont="1" applyBorder="1" applyAlignment="1">
      <alignment wrapText="1"/>
    </xf>
    <xf numFmtId="0" fontId="5" fillId="0" borderId="10" xfId="0" quotePrefix="1" applyFont="1" applyBorder="1"/>
    <xf numFmtId="0" fontId="5" fillId="0" borderId="15" xfId="0" applyFont="1" applyBorder="1" applyAlignment="1">
      <alignment wrapText="1"/>
    </xf>
    <xf numFmtId="0" fontId="5" fillId="0" borderId="10" xfId="0" applyFont="1" applyBorder="1"/>
    <xf numFmtId="0" fontId="5" fillId="0" borderId="10" xfId="0" quotePrefix="1" applyFont="1" applyBorder="1" applyAlignment="1">
      <alignment wrapText="1"/>
    </xf>
    <xf numFmtId="0" fontId="5" fillId="0" borderId="10" xfId="0" applyFont="1" applyBorder="1" applyAlignment="1">
      <alignment wrapText="1"/>
    </xf>
    <xf numFmtId="0" fontId="5" fillId="0" borderId="11" xfId="0" quotePrefix="1" applyFont="1" applyBorder="1" applyAlignment="1">
      <alignment wrapText="1"/>
    </xf>
    <xf numFmtId="0" fontId="5" fillId="0" borderId="5" xfId="0" applyFont="1" applyBorder="1"/>
    <xf numFmtId="0" fontId="6" fillId="0" borderId="0" xfId="1" applyFont="1"/>
    <xf numFmtId="0" fontId="7" fillId="0" borderId="0" xfId="0" applyFont="1"/>
    <xf numFmtId="0" fontId="8" fillId="0" borderId="0" xfId="0" applyFont="1"/>
    <xf numFmtId="0" fontId="8" fillId="0" borderId="7" xfId="0" applyFont="1" applyBorder="1"/>
    <xf numFmtId="0" fontId="7" fillId="0" borderId="9" xfId="0" applyFont="1" applyBorder="1"/>
    <xf numFmtId="0" fontId="8" fillId="0" borderId="16" xfId="0" applyFont="1" applyBorder="1"/>
    <xf numFmtId="0" fontId="8" fillId="0" borderId="16" xfId="0" quotePrefix="1" applyFont="1" applyBorder="1"/>
    <xf numFmtId="0" fontId="7" fillId="0" borderId="9" xfId="0" quotePrefix="1" applyFont="1" applyBorder="1"/>
    <xf numFmtId="0" fontId="8" fillId="0" borderId="14" xfId="0" applyFont="1" applyBorder="1"/>
    <xf numFmtId="0" fontId="7" fillId="0" borderId="7" xfId="0" quotePrefix="1" applyFont="1" applyBorder="1"/>
    <xf numFmtId="0" fontId="8" fillId="0" borderId="13" xfId="0" applyFont="1" applyBorder="1"/>
    <xf numFmtId="0" fontId="7" fillId="0" borderId="7" xfId="0" applyFont="1" applyBorder="1"/>
    <xf numFmtId="0" fontId="7" fillId="0" borderId="8" xfId="0" applyFont="1" applyBorder="1"/>
    <xf numFmtId="0" fontId="2" fillId="0" borderId="0" xfId="1" applyFill="1" applyBorder="1" applyAlignment="1"/>
    <xf numFmtId="0" fontId="2" fillId="0" borderId="0" xfId="1" quotePrefix="1" applyFill="1" applyBorder="1" applyAlignment="1"/>
    <xf numFmtId="0" fontId="7" fillId="0" borderId="6" xfId="0" applyFont="1" applyBorder="1"/>
    <xf numFmtId="0" fontId="7" fillId="0" borderId="6" xfId="0" quotePrefix="1" applyFont="1" applyBorder="1"/>
    <xf numFmtId="0" fontId="7" fillId="0" borderId="8" xfId="0" quotePrefix="1" applyFont="1" applyBorder="1"/>
    <xf numFmtId="0" fontId="7" fillId="0" borderId="17" xfId="0" quotePrefix="1" applyFont="1" applyBorder="1"/>
    <xf numFmtId="0" fontId="7" fillId="0" borderId="1" xfId="0" quotePrefix="1" applyFont="1" applyBorder="1"/>
    <xf numFmtId="0" fontId="7" fillId="0" borderId="2" xfId="0" quotePrefix="1" applyFont="1" applyBorder="1"/>
    <xf numFmtId="0" fontId="8" fillId="0" borderId="13" xfId="0" quotePrefix="1" applyFont="1" applyBorder="1"/>
    <xf numFmtId="14" fontId="8" fillId="0" borderId="0" xfId="0" applyNumberFormat="1" applyFont="1"/>
    <xf numFmtId="0" fontId="9" fillId="0" borderId="0" xfId="0" applyFont="1"/>
    <xf numFmtId="0" fontId="8" fillId="0" borderId="14" xfId="0" quotePrefix="1" applyFont="1" applyBorder="1"/>
    <xf numFmtId="0" fontId="8" fillId="0" borderId="19" xfId="0" applyFont="1" applyBorder="1"/>
    <xf numFmtId="0" fontId="8" fillId="0" borderId="18" xfId="0" applyFont="1" applyBorder="1"/>
    <xf numFmtId="4" fontId="8" fillId="0" borderId="0" xfId="0" applyNumberFormat="1" applyFont="1"/>
    <xf numFmtId="3" fontId="8" fillId="0" borderId="0" xfId="0" applyNumberFormat="1" applyFont="1"/>
    <xf numFmtId="0" fontId="8" fillId="0" borderId="0" xfId="0" quotePrefix="1" applyFont="1"/>
    <xf numFmtId="0" fontId="13" fillId="0" borderId="14" xfId="0" applyFont="1" applyBorder="1"/>
    <xf numFmtId="0" fontId="8" fillId="0" borderId="0" xfId="1" quotePrefix="1" applyFont="1" applyFill="1" applyBorder="1" applyAlignment="1"/>
    <xf numFmtId="3" fontId="0" fillId="0" borderId="0" xfId="0" applyNumberFormat="1"/>
    <xf numFmtId="0" fontId="17" fillId="0" borderId="0" xfId="0" applyFont="1" applyAlignment="1">
      <alignment horizontal="center" vertical="center" wrapText="1"/>
    </xf>
    <xf numFmtId="0" fontId="19" fillId="0" borderId="0" xfId="0" applyFont="1"/>
    <xf numFmtId="0" fontId="16" fillId="0" borderId="0" xfId="0" applyFont="1" applyAlignment="1">
      <alignment horizontal="center" vertical="center" wrapText="1"/>
    </xf>
    <xf numFmtId="0" fontId="18" fillId="0" borderId="0" xfId="0" applyFont="1" applyAlignment="1">
      <alignment horizontal="center" vertical="center" wrapText="1"/>
    </xf>
    <xf numFmtId="0" fontId="12" fillId="0" borderId="0" xfId="0" applyFont="1"/>
    <xf numFmtId="0" fontId="17" fillId="0" borderId="0" xfId="0" applyFont="1" applyAlignment="1">
      <alignment horizontal="center" vertical="center"/>
    </xf>
    <xf numFmtId="0" fontId="17" fillId="0" borderId="0" xfId="0" applyFont="1" applyAlignment="1">
      <alignment horizontal="left" vertical="center"/>
    </xf>
    <xf numFmtId="0" fontId="8" fillId="0" borderId="0" xfId="3" applyFont="1"/>
    <xf numFmtId="0" fontId="1" fillId="0" borderId="0" xfId="2"/>
    <xf numFmtId="0" fontId="20" fillId="0" borderId="0" xfId="0" applyFont="1" applyAlignment="1">
      <alignment vertical="center" wrapText="1"/>
    </xf>
    <xf numFmtId="0" fontId="16" fillId="0" borderId="0" xfId="0" applyFont="1" applyAlignment="1">
      <alignment vertical="top" wrapText="1"/>
    </xf>
    <xf numFmtId="0" fontId="16" fillId="0" borderId="0" xfId="0" applyFont="1" applyAlignment="1">
      <alignment horizontal="left" vertical="center"/>
    </xf>
    <xf numFmtId="0" fontId="14" fillId="0" borderId="0" xfId="0" applyFont="1"/>
    <xf numFmtId="0" fontId="2" fillId="0" borderId="0" xfId="1" applyFill="1" applyAlignment="1"/>
    <xf numFmtId="0" fontId="2" fillId="0" borderId="0" xfId="1" applyFill="1"/>
    <xf numFmtId="1" fontId="8" fillId="0" borderId="0" xfId="0" applyNumberFormat="1" applyFont="1"/>
    <xf numFmtId="1" fontId="7" fillId="0" borderId="1" xfId="0" applyNumberFormat="1" applyFont="1" applyBorder="1"/>
    <xf numFmtId="1" fontId="7" fillId="0" borderId="17" xfId="0" applyNumberFormat="1" applyFont="1" applyBorder="1"/>
    <xf numFmtId="1" fontId="7" fillId="0" borderId="20" xfId="0" applyNumberFormat="1" applyFont="1" applyBorder="1"/>
    <xf numFmtId="1" fontId="7" fillId="0" borderId="0" xfId="0" applyNumberFormat="1" applyFont="1"/>
    <xf numFmtId="1" fontId="8" fillId="0" borderId="13" xfId="0" applyNumberFormat="1" applyFont="1" applyBorder="1"/>
    <xf numFmtId="1" fontId="8" fillId="0" borderId="16" xfId="0" applyNumberFormat="1" applyFont="1" applyBorder="1"/>
    <xf numFmtId="1" fontId="8" fillId="0" borderId="14" xfId="0" applyNumberFormat="1" applyFont="1" applyBorder="1"/>
    <xf numFmtId="1" fontId="8" fillId="0" borderId="3" xfId="0" applyNumberFormat="1" applyFont="1" applyBorder="1"/>
    <xf numFmtId="1" fontId="8" fillId="0" borderId="21" xfId="0" applyNumberFormat="1" applyFont="1" applyBorder="1"/>
    <xf numFmtId="1" fontId="8" fillId="0" borderId="4" xfId="0" applyNumberFormat="1" applyFont="1" applyBorder="1"/>
    <xf numFmtId="1" fontId="8" fillId="0" borderId="1" xfId="0" applyNumberFormat="1" applyFont="1" applyBorder="1"/>
    <xf numFmtId="1" fontId="8" fillId="0" borderId="17" xfId="0" applyNumberFormat="1" applyFont="1" applyBorder="1"/>
    <xf numFmtId="1" fontId="8" fillId="0" borderId="20" xfId="0" applyNumberFormat="1" applyFont="1" applyBorder="1"/>
    <xf numFmtId="1" fontId="7" fillId="0" borderId="3" xfId="0" applyNumberFormat="1" applyFont="1" applyBorder="1"/>
    <xf numFmtId="1" fontId="7" fillId="0" borderId="21" xfId="0" applyNumberFormat="1" applyFont="1" applyBorder="1"/>
    <xf numFmtId="1" fontId="7" fillId="0" borderId="17" xfId="3" applyNumberFormat="1" applyFont="1" applyBorder="1"/>
    <xf numFmtId="1" fontId="11" fillId="0" borderId="16" xfId="2" applyNumberFormat="1" applyFont="1" applyBorder="1"/>
    <xf numFmtId="1" fontId="8" fillId="0" borderId="16" xfId="3" applyNumberFormat="1" applyFont="1" applyBorder="1"/>
    <xf numFmtId="1" fontId="8" fillId="0" borderId="21" xfId="3" applyNumberFormat="1" applyFont="1" applyBorder="1"/>
    <xf numFmtId="1" fontId="11" fillId="0" borderId="21" xfId="2" applyNumberFormat="1" applyFont="1" applyBorder="1"/>
    <xf numFmtId="1" fontId="7" fillId="0" borderId="16" xfId="3" applyNumberFormat="1" applyFont="1" applyBorder="1"/>
    <xf numFmtId="1" fontId="7" fillId="0" borderId="6" xfId="0" applyNumberFormat="1" applyFont="1" applyBorder="1" applyAlignment="1">
      <alignment horizontal="center"/>
    </xf>
    <xf numFmtId="1" fontId="7" fillId="0" borderId="7" xfId="0" applyNumberFormat="1" applyFont="1" applyBorder="1" applyAlignment="1">
      <alignment horizontal="center"/>
    </xf>
    <xf numFmtId="1" fontId="7" fillId="0" borderId="8" xfId="0" applyNumberFormat="1" applyFont="1" applyBorder="1" applyAlignment="1">
      <alignment horizontal="center"/>
    </xf>
    <xf numFmtId="1" fontId="7" fillId="0" borderId="1" xfId="0" applyNumberFormat="1" applyFont="1" applyBorder="1" applyAlignment="1">
      <alignment horizontal="center"/>
    </xf>
    <xf numFmtId="1" fontId="7" fillId="0" borderId="13" xfId="0" applyNumberFormat="1" applyFont="1" applyBorder="1" applyAlignment="1">
      <alignment horizontal="center"/>
    </xf>
    <xf numFmtId="1" fontId="7" fillId="0" borderId="17" xfId="0" applyNumberFormat="1" applyFont="1" applyBorder="1" applyAlignment="1">
      <alignment horizontal="center"/>
    </xf>
    <xf numFmtId="1" fontId="7" fillId="0" borderId="21" xfId="0" applyNumberFormat="1" applyFont="1" applyBorder="1" applyAlignment="1">
      <alignment horizontal="center"/>
    </xf>
    <xf numFmtId="0" fontId="5" fillId="0" borderId="10" xfId="0" applyFont="1" applyBorder="1" applyAlignment="1">
      <alignment horizontal="left" wrapText="1"/>
    </xf>
    <xf numFmtId="0" fontId="5" fillId="0" borderId="0" xfId="0" applyFont="1" applyAlignment="1">
      <alignment horizontal="left" wrapText="1"/>
    </xf>
  </cellXfs>
  <cellStyles count="5">
    <cellStyle name="Comma 2" xfId="4" xr:uid="{5D23CC17-A3A1-40D4-8BA8-8CA2BE5548A2}"/>
    <cellStyle name="Hyperlink" xfId="1" builtinId="8"/>
    <cellStyle name="Normal" xfId="0" builtinId="0"/>
    <cellStyle name="Normal 2" xfId="3" xr:uid="{A7198BAC-1F9A-42F9-A3A1-CB5108563F23}"/>
    <cellStyle name="Normal 3" xfId="2" xr:uid="{59801EC6-C091-48C8-BD34-CEB26645388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purl.oclc.org/ooxml/officeDocument/relationships/worksheet" Target="worksheets/sheet8.xml"/><Relationship Id="rId13" Type="http://purl.oclc.org/ooxml/officeDocument/relationships/sharedStrings" Target="sharedStrings.xml"/><Relationship Id="rId3" Type="http://purl.oclc.org/ooxml/officeDocument/relationships/worksheet" Target="worksheets/sheet3.xml"/><Relationship Id="rId7" Type="http://purl.oclc.org/ooxml/officeDocument/relationships/worksheet" Target="worksheets/sheet7.xml"/><Relationship Id="rId12" Type="http://purl.oclc.org/ooxml/officeDocument/relationships/styles" Target="styles.xml"/><Relationship Id="rId2" Type="http://purl.oclc.org/ooxml/officeDocument/relationships/worksheet" Target="worksheets/sheet2.xml"/><Relationship Id="rId1" Type="http://purl.oclc.org/ooxml/officeDocument/relationships/worksheet" Target="worksheets/sheet1.xml"/><Relationship Id="rId6" Type="http://purl.oclc.org/ooxml/officeDocument/relationships/worksheet" Target="worksheets/sheet6.xml"/><Relationship Id="rId11" Type="http://purl.oclc.org/ooxml/officeDocument/relationships/theme" Target="theme/theme1.xml"/><Relationship Id="rId5" Type="http://purl.oclc.org/ooxml/officeDocument/relationships/worksheet" Target="worksheets/sheet5.xml"/><Relationship Id="rId10" Type="http://purl.oclc.org/ooxml/officeDocument/relationships/worksheet" Target="worksheets/sheet10.xml"/><Relationship Id="rId4" Type="http://purl.oclc.org/ooxml/officeDocument/relationships/worksheet" Target="worksheets/sheet4.xml"/><Relationship Id="rId9" Type="http://purl.oclc.org/ooxml/officeDocument/relationships/worksheet" Target="worksheets/sheet9.xml"/><Relationship Id="rId14" Type="http://purl.oclc.org/ooxml/officeDocument/relationships/calcChain" Target="calcChain.xml"/></Relationships>
</file>

<file path=xl/theme/theme1.xml><?xml version="1.0" encoding="utf-8"?>
<a:theme xmlns:a="http://purl.oclc.org/ooxml/drawingml/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
                <a:satMod val="300%"/>
              </a:schemeClr>
            </a:gs>
            <a:gs pos="35%">
              <a:schemeClr val="phClr">
                <a:tint val="37%"/>
                <a:satMod val="300%"/>
              </a:schemeClr>
            </a:gs>
            <a:gs pos="100%">
              <a:schemeClr val="phClr">
                <a:tint val="15%"/>
                <a:satMod val="350%"/>
              </a:schemeClr>
            </a:gs>
          </a:gsLst>
          <a:lin ang="16200000" scaled="1"/>
        </a:gradFill>
        <a:gradFill rotWithShape="1">
          <a:gsLst>
            <a:gs pos="0%">
              <a:schemeClr val="phClr">
                <a:shade val="51%"/>
                <a:satMod val="130%"/>
              </a:schemeClr>
            </a:gs>
            <a:gs pos="80%">
              <a:schemeClr val="phClr">
                <a:shade val="93%"/>
                <a:satMod val="130%"/>
              </a:schemeClr>
            </a:gs>
            <a:gs pos="100%">
              <a:schemeClr val="phClr">
                <a:shade val="94%"/>
                <a:satMod val="135%"/>
              </a:schemeClr>
            </a:gs>
          </a:gsLst>
          <a:lin ang="16200000" scaled="0"/>
        </a:gradFill>
      </a:fillStyleLst>
      <a:lnStyleLst>
        <a:ln w="9525" cap="flat" cmpd="sng" algn="ctr">
          <a:solidFill>
            <a:schemeClr val="phClr">
              <a:shade val="95%"/>
              <a:satMod val="105%"/>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
              </a:srgbClr>
            </a:outerShdw>
          </a:effectLst>
        </a:effectStyle>
        <a:effectStyle>
          <a:effectLst>
            <a:outerShdw blurRad="40000" dist="23000" dir="5400000" rotWithShape="0">
              <a:srgbClr val="000000">
                <a:alpha val="35%"/>
              </a:srgbClr>
            </a:outerShdw>
          </a:effectLst>
        </a:effectStyle>
        <a:effectStyle>
          <a:effectLst>
            <a:outerShdw blurRad="40000" dist="23000" dir="5400000" rotWithShape="0">
              <a:srgbClr val="000000">
                <a:alpha val="35%"/>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
                <a:satMod val="350%"/>
              </a:schemeClr>
            </a:gs>
            <a:gs pos="40%">
              <a:schemeClr val="phClr">
                <a:tint val="45%"/>
                <a:shade val="99%"/>
                <a:satMod val="350%"/>
              </a:schemeClr>
            </a:gs>
            <a:gs pos="100%">
              <a:schemeClr val="phClr">
                <a:shade val="20%"/>
                <a:satMod val="255%"/>
              </a:schemeClr>
            </a:gs>
          </a:gsLst>
          <a:path path="circle">
            <a:fillToRect l="50%" t="-80%" r="50%" b="180%"/>
          </a:path>
        </a:gradFill>
        <a:gradFill rotWithShape="1">
          <a:gsLst>
            <a:gs pos="0%">
              <a:schemeClr val="phClr">
                <a:tint val="80%"/>
                <a:satMod val="300%"/>
              </a:schemeClr>
            </a:gs>
            <a:gs pos="100%">
              <a:schemeClr val="phClr">
                <a:shade val="30%"/>
                <a:satMod val="200%"/>
              </a:schemeClr>
            </a:gs>
          </a:gsLst>
          <a:path path="circle">
            <a:fillToRect l="50%" t="50%" r="50%" b="5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purl.oclc.org/ooxml/officeDocument/relationships/printerSettings" Target="../printerSettings/printerSettings1.bin"/></Relationships>
</file>

<file path=xl/worksheets/_rels/sheet10.xml.rels><?xml version="1.0" encoding="UTF-8" standalone="yes"?>
<Relationships xmlns="http://schemas.openxmlformats.org/package/2006/relationships"><Relationship Id="rId1" Type="http://purl.oclc.org/ooxml/officeDocument/relationships/hyperlink" Target="http://www.es-partnership.org/esp/80763/5/0/50" TargetMode="External"/></Relationships>
</file>

<file path=xl/worksheets/_rels/sheet2.xml.rels><?xml version="1.0" encoding="UTF-8" standalone="yes"?>
<Relationships xmlns="http://schemas.openxmlformats.org/package/2006/relationships"><Relationship Id="rId13" Type="http://purl.oclc.org/ooxml/officeDocument/relationships/hyperlink" Target="https://www.knbs.or.ke/?wpdmpro=2019-kenya-population-and-housing-census-volume-i-population-by-county-and-sub-county" TargetMode="External"/><Relationship Id="rId18" Type="http://purl.oclc.org/ooxml/officeDocument/relationships/hyperlink" Target="https://www.knbs.or.ke/?wpdmpro=2019-kenya-population-and-housing-census-volume-iv-distribution-of-population-by-socio-economic-characteristicsPage%20372" TargetMode="External"/><Relationship Id="rId26" Type="http://purl.oclc.org/ooxml/officeDocument/relationships/hyperlink" Target="https://www.knbs.or.ke/?wpdmpro=2019-kenya-population-and-housing-census-volume-iv-distribution-of-population-by-socio-economic-characteristicsPage%20372" TargetMode="External"/><Relationship Id="rId39" Type="http://purl.oclc.org/ooxml/officeDocument/relationships/hyperlink" Target="https://www.knbs.or.ke/?wpdmpro=2019-kenya-population-and-housing-census-volume-iv-distribution-of-population-by-socio-economic-characteristicsPage%20372" TargetMode="External"/><Relationship Id="rId21" Type="http://purl.oclc.org/ooxml/officeDocument/relationships/hyperlink" Target="https://www.knbs.or.ke/?wpdmpro=2019-kenya-population-and-housing-census-volume-iv-distribution-of-population-by-socio-economic-characteristicsPage%20372" TargetMode="External"/><Relationship Id="rId34" Type="http://purl.oclc.org/ooxml/officeDocument/relationships/hyperlink" Target="https://www.knbs.or.ke/?wpdmpro=2019-kenya-population-and-housing-census-volume-iv-distribution-of-population-by-socio-economic-characteristicsPage%20372" TargetMode="External"/><Relationship Id="rId42" Type="http://purl.oclc.org/ooxml/officeDocument/relationships/hyperlink" Target="https://www.knbs.or.ke/?wpdmpro=2019-kenya-population-and-housing-census-volume-iv-distribution-of-population-by-socio-economic-characteristicsPage%20372" TargetMode="External"/><Relationship Id="rId47" Type="http://purl.oclc.org/ooxml/officeDocument/relationships/hyperlink" Target="https://www.knbs.or.ke/?wpdmpro=2019-kenya-population-and-housing-census-volume-iv-distribution-of-population-by-socio-economic-characteristicsPage%20372" TargetMode="External"/><Relationship Id="rId50" Type="http://purl.oclc.org/ooxml/officeDocument/relationships/hyperlink" Target="https://www.knbs.or.ke/?wpdmpro=2019-kenya-population-and-housing-census-volume-iv-distribution-of-population-by-socio-economic-characteristicsPage%20372" TargetMode="External"/><Relationship Id="rId55" Type="http://purl.oclc.org/ooxml/officeDocument/relationships/hyperlink" Target="https://www.knbs.or.ke/download/population-distribution-by-sex-number-of-households-area-and-density-by-county-and-district/" TargetMode="External"/><Relationship Id="rId7" Type="http://purl.oclc.org/ooxml/officeDocument/relationships/hyperlink" Target="https://www.knbs.or.ke/?wpdmpro=2019-kenya-population-and-housing-census-volume-i-population-by-county-and-sub-county" TargetMode="External"/><Relationship Id="rId2" Type="http://purl.oclc.org/ooxml/officeDocument/relationships/hyperlink" Target="https://www.knbs.or.ke/?wpdmpro=2019-kenya-population-and-housing-census-volume-i-population-by-county-and-sub-county" TargetMode="External"/><Relationship Id="rId16" Type="http://purl.oclc.org/ooxml/officeDocument/relationships/hyperlink" Target="https://www.knbs.or.ke/download/population-distribution-by-sex-number-of-households-area-and-density-by-county-and-district/" TargetMode="External"/><Relationship Id="rId20" Type="http://purl.oclc.org/ooxml/officeDocument/relationships/hyperlink" Target="https://www.knbs.or.ke/?wpdmpro=2019-kenya-population-and-housing-census-volume-iv-distribution-of-population-by-socio-economic-characteristicsPage%20372" TargetMode="External"/><Relationship Id="rId29" Type="http://purl.oclc.org/ooxml/officeDocument/relationships/hyperlink" Target="https://www.knbs.or.ke/?wpdmpro=2019-kenya-population-and-housing-census-volume-iv-distribution-of-population-by-socio-economic-characteristicsPage%20372" TargetMode="External"/><Relationship Id="rId41" Type="http://purl.oclc.org/ooxml/officeDocument/relationships/hyperlink" Target="https://www.knbs.or.ke/?wpdmpro=2019-kenya-population-and-housing-census-volume-iv-distribution-of-population-by-socio-economic-characteristicsPage%20372" TargetMode="External"/><Relationship Id="rId54" Type="http://purl.oclc.org/ooxml/officeDocument/relationships/hyperlink" Target="https://www.knbs.or.ke/download/population-distribution-by-sex-number-of-households-area-and-density-by-county-and-district/" TargetMode="External"/><Relationship Id="rId62" Type="http://purl.oclc.org/ooxml/officeDocument/relationships/printerSettings" Target="../printerSettings/printerSettings2.bin"/><Relationship Id="rId1" Type="http://purl.oclc.org/ooxml/officeDocument/relationships/hyperlink" Target="https://www.bornfree.org.uk/storage/media/content/files/National%20Recovery%20and%20Action%20Plan%20for%20Lion%20%20copy.pdf" TargetMode="External"/><Relationship Id="rId6" Type="http://purl.oclc.org/ooxml/officeDocument/relationships/hyperlink" Target="https://www.knbs.or.ke/?wpdmpro=2019-kenya-population-and-housing-census-volume-i-population-by-county-and-sub-county" TargetMode="External"/><Relationship Id="rId11" Type="http://purl.oclc.org/ooxml/officeDocument/relationships/hyperlink" Target="https://www.knbs.or.ke/?wpdmpro=2019-kenya-population-and-housing-census-volume-iv-distribution-of-population-by-socio-economic-characteristicsPage%20372" TargetMode="External"/><Relationship Id="rId24" Type="http://purl.oclc.org/ooxml/officeDocument/relationships/hyperlink" Target="https://www.knbs.or.ke/?wpdmpro=2019-kenya-population-and-housing-census-volume-iv-distribution-of-population-by-socio-economic-characteristicsPage%20372" TargetMode="External"/><Relationship Id="rId32" Type="http://purl.oclc.org/ooxml/officeDocument/relationships/hyperlink" Target="https://www.knbs.or.ke/?wpdmpro=2019-kenya-population-and-housing-census-volume-iv-distribution-of-population-by-socio-economic-characteristicsPage%20372" TargetMode="External"/><Relationship Id="rId37" Type="http://purl.oclc.org/ooxml/officeDocument/relationships/hyperlink" Target="https://www.knbs.or.ke/?wpdmpro=2019-kenya-population-and-housing-census-volume-iv-distribution-of-population-by-socio-economic-characteristicsPage%20372" TargetMode="External"/><Relationship Id="rId40" Type="http://purl.oclc.org/ooxml/officeDocument/relationships/hyperlink" Target="https://www.knbs.or.ke/?wpdmpro=2019-kenya-population-and-housing-census-volume-iv-distribution-of-population-by-socio-economic-characteristicsPage%20372" TargetMode="External"/><Relationship Id="rId45" Type="http://purl.oclc.org/ooxml/officeDocument/relationships/hyperlink" Target="https://www.knbs.or.ke/?wpdmpro=2019-kenya-population-and-housing-census-volume-iv-distribution-of-population-by-socio-economic-characteristicsPage%20372" TargetMode="External"/><Relationship Id="rId53" Type="http://purl.oclc.org/ooxml/officeDocument/relationships/hyperlink" Target="https://www.knbs.or.ke/download/population-distribution-by-sex-number-of-households-area-and-density-by-county-and-district/" TargetMode="External"/><Relationship Id="rId58" Type="http://purl.oclc.org/ooxml/officeDocument/relationships/hyperlink" Target="https://www.citypopulation.de/en/vietnam/namdinh/admin/365__giao_th%E1%BB%A7y/" TargetMode="External"/><Relationship Id="rId5" Type="http://purl.oclc.org/ooxml/officeDocument/relationships/hyperlink" Target="https://www.knbs.or.ke/?wpdmpro=2019-kenya-population-and-housing-census-volume-i-population-by-county-and-sub-county" TargetMode="External"/><Relationship Id="rId15" Type="http://purl.oclc.org/ooxml/officeDocument/relationships/hyperlink" Target="https://www.knbs.or.ke/?wpdmpro=2019-kenya-population-and-housing-census-volume-iv-distribution-of-population-by-socio-economic-characteristicsPage%20372" TargetMode="External"/><Relationship Id="rId23" Type="http://purl.oclc.org/ooxml/officeDocument/relationships/hyperlink" Target="https://www.knbs.or.ke/?wpdmpro=2019-kenya-population-and-housing-census-volume-iv-distribution-of-population-by-socio-economic-characteristicsPage%20372" TargetMode="External"/><Relationship Id="rId28" Type="http://purl.oclc.org/ooxml/officeDocument/relationships/hyperlink" Target="https://www.knbs.or.ke/?wpdmpro=2019-kenya-population-and-housing-census-volume-iv-distribution-of-population-by-socio-economic-characteristicsPage%20372" TargetMode="External"/><Relationship Id="rId36" Type="http://purl.oclc.org/ooxml/officeDocument/relationships/hyperlink" Target="https://www.knbs.or.ke/?wpdmpro=2019-kenya-population-and-housing-census-volume-iv-distribution-of-population-by-socio-economic-characteristicsPage%20372" TargetMode="External"/><Relationship Id="rId49" Type="http://purl.oclc.org/ooxml/officeDocument/relationships/hyperlink" Target="https://www.knbs.or.ke/?wpdmpro=2019-kenya-population-and-housing-census-volume-iv-distribution-of-population-by-socio-economic-characteristicsPage%20372" TargetMode="External"/><Relationship Id="rId57" Type="http://purl.oclc.org/ooxml/officeDocument/relationships/hyperlink" Target="https://tools.wmflabs.org/geohack/geohack.php?language=vi&amp;pagename=Ph%C6%B0%E1%BB%9Bc_V%C4%A9nh_%C4%90%C3%B4ng&amp;params=10_34_2_N_106_43_3_E_region:VN_type:adm3rd" TargetMode="External"/><Relationship Id="rId61" Type="http://purl.oclc.org/ooxml/officeDocument/relationships/hyperlink" Target="https://www.citypopulation.de/en/vietnam/namdinh/admin/365__giao_th%E1%BB%A7y/" TargetMode="External"/><Relationship Id="rId10" Type="http://purl.oclc.org/ooxml/officeDocument/relationships/hyperlink" Target="https://www.knbs.or.ke/?wpdmpro=2019-kenya-population-and-housing-census-volume-iv-distribution-of-population-by-socio-economic-characteristicsPage%20372" TargetMode="External"/><Relationship Id="rId19" Type="http://purl.oclc.org/ooxml/officeDocument/relationships/hyperlink" Target="https://www.knbs.or.ke/?wpdmpro=2019-kenya-population-and-housing-census-volume-iv-distribution-of-population-by-socio-economic-characteristicsPage%20372" TargetMode="External"/><Relationship Id="rId31" Type="http://purl.oclc.org/ooxml/officeDocument/relationships/hyperlink" Target="https://www.knbs.or.ke/?wpdmpro=2019-kenya-population-and-housing-census-volume-iv-distribution-of-population-by-socio-economic-characteristicsPage%20372" TargetMode="External"/><Relationship Id="rId44" Type="http://purl.oclc.org/ooxml/officeDocument/relationships/hyperlink" Target="https://www.knbs.or.ke/?wpdmpro=2019-kenya-population-and-housing-census-volume-iv-distribution-of-population-by-socio-economic-characteristicsPage%20372" TargetMode="External"/><Relationship Id="rId52" Type="http://purl.oclc.org/ooxml/officeDocument/relationships/hyperlink" Target="https://www.knbs.or.ke/?wpdmpro=2019-kenya-population-and-housing-census-volume-iv-distribution-of-population-by-socio-economic-characteristicsPage%20372" TargetMode="External"/><Relationship Id="rId60" Type="http://purl.oclc.org/ooxml/officeDocument/relationships/hyperlink" Target="https://www.citypopulation.de/en/vietnam/namdinh/admin/365__giao_th%E1%BB%A7y/" TargetMode="External"/><Relationship Id="rId4" Type="http://purl.oclc.org/ooxml/officeDocument/relationships/hyperlink" Target="https://www.knbs.or.ke/?wpdmpro=2019-kenya-population-and-housing-census-volume-i-population-by-county-and-sub-county" TargetMode="External"/><Relationship Id="rId9" Type="http://purl.oclc.org/ooxml/officeDocument/relationships/hyperlink" Target="https://www.knbs.or.ke/?wpdmpro=2019-kenya-population-and-housing-census-volume-iv-distribution-of-population-by-socio-economic-characteristicsPage%20372" TargetMode="External"/><Relationship Id="rId14" Type="http://purl.oclc.org/ooxml/officeDocument/relationships/hyperlink" Target="https://www.knbs.or.ke/?wpdmpro=2019-kenya-population-and-housing-census-volume-i-population-by-county-and-sub-county" TargetMode="External"/><Relationship Id="rId22" Type="http://purl.oclc.org/ooxml/officeDocument/relationships/hyperlink" Target="https://www.knbs.or.ke/?wpdmpro=2019-kenya-population-and-housing-census-volume-iv-distribution-of-population-by-socio-economic-characteristicsPage%20372" TargetMode="External"/><Relationship Id="rId27" Type="http://purl.oclc.org/ooxml/officeDocument/relationships/hyperlink" Target="https://www.knbs.or.ke/?wpdmpro=2019-kenya-population-and-housing-census-volume-iv-distribution-of-population-by-socio-economic-characteristicsPage%20372" TargetMode="External"/><Relationship Id="rId30" Type="http://purl.oclc.org/ooxml/officeDocument/relationships/hyperlink" Target="https://www.knbs.or.ke/?wpdmpro=2019-kenya-population-and-housing-census-volume-iv-distribution-of-population-by-socio-economic-characteristicsPage%20372" TargetMode="External"/><Relationship Id="rId35" Type="http://purl.oclc.org/ooxml/officeDocument/relationships/hyperlink" Target="https://www.knbs.or.ke/?wpdmpro=2019-kenya-population-and-housing-census-volume-iv-distribution-of-population-by-socio-economic-characteristicsPage%20372" TargetMode="External"/><Relationship Id="rId43" Type="http://purl.oclc.org/ooxml/officeDocument/relationships/hyperlink" Target="https://www.knbs.or.ke/?wpdmpro=2019-kenya-population-and-housing-census-volume-iv-distribution-of-population-by-socio-economic-characteristicsPage%20372" TargetMode="External"/><Relationship Id="rId48" Type="http://purl.oclc.org/ooxml/officeDocument/relationships/hyperlink" Target="https://www.knbs.or.ke/?wpdmpro=2019-kenya-population-and-housing-census-volume-iv-distribution-of-population-by-socio-economic-characteristicsPage%20372" TargetMode="External"/><Relationship Id="rId56" Type="http://purl.oclc.org/ooxml/officeDocument/relationships/hyperlink" Target="https://tools.wmflabs.org/geohack/geohack.php?language=vi&amp;pagename=Ph%C6%B0%E1%BB%9Bc_V%C4%A9nh_%C4%90%C3%B4ng&amp;params=10_34_2_N_106_43_3_E_region:VN_type:adm3rd" TargetMode="External"/><Relationship Id="rId8" Type="http://purl.oclc.org/ooxml/officeDocument/relationships/hyperlink" Target="https://www.knbs.or.ke/?wpdmpro=2019-kenya-population-and-housing-census-volume-i-population-by-county-and-sub-county" TargetMode="External"/><Relationship Id="rId51" Type="http://purl.oclc.org/ooxml/officeDocument/relationships/hyperlink" Target="https://www.knbs.or.ke/?wpdmpro=2019-kenya-population-and-housing-census-volume-iv-distribution-of-population-by-socio-economic-characteristicsPage%20372" TargetMode="External"/><Relationship Id="rId3" Type="http://purl.oclc.org/ooxml/officeDocument/relationships/hyperlink" Target="https://www.knbs.or.ke/?wpdmpro=2019-kenya-population-and-housing-census-volume-i-population-by-county-and-sub-county" TargetMode="External"/><Relationship Id="rId12" Type="http://purl.oclc.org/ooxml/officeDocument/relationships/hyperlink" Target="https://www.knbs.or.ke/?wpdmpro=2019-kenya-population-and-housing-census-volume-iv-distribution-of-population-by-socio-economic-characteristicsPage%20372" TargetMode="External"/><Relationship Id="rId17" Type="http://purl.oclc.org/ooxml/officeDocument/relationships/hyperlink" Target="https://www.knbs.or.ke/?wpdmpro=2019-kenya-population-and-housing-census-volume-iv-distribution-of-population-by-socio-economic-characteristicsPage%20372" TargetMode="External"/><Relationship Id="rId25" Type="http://purl.oclc.org/ooxml/officeDocument/relationships/hyperlink" Target="https://www.knbs.or.ke/?wpdmpro=2019-kenya-population-and-housing-census-volume-iv-distribution-of-population-by-socio-economic-characteristicsPage%20372" TargetMode="External"/><Relationship Id="rId33" Type="http://purl.oclc.org/ooxml/officeDocument/relationships/hyperlink" Target="https://www.knbs.or.ke/?wpdmpro=2019-kenya-population-and-housing-census-volume-iv-distribution-of-population-by-socio-economic-characteristicsPage%20372" TargetMode="External"/><Relationship Id="rId38" Type="http://purl.oclc.org/ooxml/officeDocument/relationships/hyperlink" Target="https://www.knbs.or.ke/?wpdmpro=2019-kenya-population-and-housing-census-volume-iv-distribution-of-population-by-socio-economic-characteristicsPage%20372" TargetMode="External"/><Relationship Id="rId46" Type="http://purl.oclc.org/ooxml/officeDocument/relationships/hyperlink" Target="https://www.knbs.or.ke/?wpdmpro=2019-kenya-population-and-housing-census-volume-iv-distribution-of-population-by-socio-economic-characteristicsPage%20372" TargetMode="External"/><Relationship Id="rId59" Type="http://purl.oclc.org/ooxml/officeDocument/relationships/hyperlink" Target="https://www.citypopulation.de/en/vietnam/namdinh/admin/365__giao_th%E1%BB%A7y/" TargetMode="External"/></Relationships>
</file>

<file path=xl/worksheets/_rels/sheet3.xml.rels><?xml version="1.0" encoding="UTF-8" standalone="yes"?>
<Relationships xmlns="http://schemas.openxmlformats.org/package/2006/relationships"><Relationship Id="rId1" Type="http://purl.oclc.org/ooxml/officeDocument/relationships/printerSettings" Target="../printerSettings/printerSettings3.bin"/></Relationships>
</file>

<file path=xl/worksheets/_rels/sheet4.xml.rels><?xml version="1.0" encoding="UTF-8" standalone="yes"?>
<Relationships xmlns="http://schemas.openxmlformats.org/package/2006/relationships"><Relationship Id="rId1" Type="http://purl.oclc.org/ooxml/officeDocument/relationships/printerSettings" Target="../printerSettings/printerSettings4.bin"/></Relationships>
</file>

<file path=xl/worksheets/_rels/sheet7.xml.rels><?xml version="1.0" encoding="UTF-8" standalone="yes"?>
<Relationships xmlns="http://schemas.openxmlformats.org/package/2006/relationships"><Relationship Id="rId1" Type="http://purl.oclc.org/ooxml/officeDocument/relationships/printerSettings" Target="../printerSettings/printerSettings5.bin"/></Relationships>
</file>

<file path=xl/worksheets/sheet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73967B-66B6-422A-A3DC-0353BB6BEDE6}">
  <dimension ref="A1:H93"/>
  <sheetViews>
    <sheetView zoomScale="85" zoomScaleNormal="85" workbookViewId="0">
      <selection activeCell="D43" sqref="D43"/>
    </sheetView>
  </sheetViews>
  <sheetFormatPr defaultColWidth="8.7109375" defaultRowHeight="12.75" x14ac:dyDescent="0.2"/>
  <cols>
    <col min="1" max="1" width="26.28515625" style="35" bestFit="1" customWidth="1"/>
    <col min="2" max="2" width="23.7109375" style="35" bestFit="1" customWidth="1"/>
    <col min="3" max="3" width="23.140625" style="35" bestFit="1" customWidth="1"/>
    <col min="4" max="4" width="36.7109375" style="35" bestFit="1" customWidth="1"/>
    <col min="5" max="5" width="15" style="35" bestFit="1" customWidth="1"/>
    <col min="6" max="6" width="15.7109375" style="35" bestFit="1" customWidth="1"/>
    <col min="7" max="7" width="29" style="35" bestFit="1" customWidth="1"/>
    <col min="8" max="8" width="20.85546875" style="35" bestFit="1" customWidth="1"/>
    <col min="9" max="16384" width="8.7109375" style="32"/>
  </cols>
  <sheetData>
    <row r="1" spans="1:8" s="33" customFormat="1" ht="13.5" thickBot="1" x14ac:dyDescent="0.25">
      <c r="A1" s="34" t="s">
        <v>229</v>
      </c>
      <c r="B1" s="34" t="s">
        <v>226</v>
      </c>
      <c r="C1" s="34" t="s">
        <v>222</v>
      </c>
      <c r="D1" s="37" t="s">
        <v>224</v>
      </c>
      <c r="E1" s="37" t="s">
        <v>205</v>
      </c>
      <c r="F1" s="34" t="s">
        <v>202</v>
      </c>
      <c r="G1" s="34" t="s">
        <v>201</v>
      </c>
      <c r="H1" s="34" t="s">
        <v>254</v>
      </c>
    </row>
    <row r="2" spans="1:8" x14ac:dyDescent="0.2">
      <c r="A2" s="35" t="s">
        <v>35</v>
      </c>
      <c r="B2" s="36" t="s">
        <v>128</v>
      </c>
      <c r="C2" s="36" t="s">
        <v>54</v>
      </c>
      <c r="D2" s="36" t="s">
        <v>187</v>
      </c>
      <c r="E2" s="36" t="s">
        <v>242</v>
      </c>
      <c r="F2" s="36" t="s">
        <v>120</v>
      </c>
      <c r="G2" s="36" t="s">
        <v>245</v>
      </c>
      <c r="H2" s="36" t="s">
        <v>250</v>
      </c>
    </row>
    <row r="3" spans="1:8" x14ac:dyDescent="0.2">
      <c r="A3" s="35" t="s">
        <v>149</v>
      </c>
      <c r="B3" s="36" t="s">
        <v>118</v>
      </c>
      <c r="C3" s="36" t="s">
        <v>62</v>
      </c>
      <c r="D3" s="36" t="s">
        <v>67</v>
      </c>
      <c r="E3" s="36" t="s">
        <v>115</v>
      </c>
      <c r="F3" s="36" t="s">
        <v>137</v>
      </c>
      <c r="G3" s="36" t="s">
        <v>238</v>
      </c>
      <c r="H3" s="36" t="s">
        <v>239</v>
      </c>
    </row>
    <row r="4" spans="1:8" x14ac:dyDescent="0.2">
      <c r="A4" s="35" t="s">
        <v>125</v>
      </c>
      <c r="B4" s="36" t="s">
        <v>135</v>
      </c>
      <c r="C4" s="36" t="s">
        <v>36</v>
      </c>
      <c r="D4" s="36" t="s">
        <v>11</v>
      </c>
      <c r="E4" s="36" t="s">
        <v>151</v>
      </c>
      <c r="F4" s="36" t="s">
        <v>243</v>
      </c>
      <c r="G4" s="36" t="s">
        <v>132</v>
      </c>
      <c r="H4" s="36" t="s">
        <v>247</v>
      </c>
    </row>
    <row r="5" spans="1:8" x14ac:dyDescent="0.2">
      <c r="A5" s="35" t="s">
        <v>39</v>
      </c>
      <c r="B5" s="36" t="s">
        <v>138</v>
      </c>
      <c r="C5" s="36" t="s">
        <v>131</v>
      </c>
      <c r="D5" s="36" t="s">
        <v>55</v>
      </c>
      <c r="E5" s="36" t="s">
        <v>30</v>
      </c>
      <c r="F5" s="36" t="s">
        <v>61</v>
      </c>
      <c r="G5" s="36" t="s">
        <v>21</v>
      </c>
      <c r="H5" s="36" t="s">
        <v>134</v>
      </c>
    </row>
    <row r="6" spans="1:8" x14ac:dyDescent="0.2">
      <c r="A6" s="35" t="s">
        <v>184</v>
      </c>
      <c r="B6" s="36" t="s">
        <v>113</v>
      </c>
      <c r="C6" s="36" t="s">
        <v>52</v>
      </c>
      <c r="D6" s="36" t="s">
        <v>14</v>
      </c>
      <c r="F6" s="36" t="s">
        <v>139</v>
      </c>
      <c r="G6" s="36" t="s">
        <v>27</v>
      </c>
      <c r="H6" s="36" t="s">
        <v>180</v>
      </c>
    </row>
    <row r="7" spans="1:8" x14ac:dyDescent="0.2">
      <c r="A7" s="35" t="s">
        <v>136</v>
      </c>
      <c r="B7" s="36" t="s">
        <v>240</v>
      </c>
      <c r="C7" s="36" t="s">
        <v>39</v>
      </c>
      <c r="D7" s="36" t="s">
        <v>142</v>
      </c>
      <c r="F7" s="36" t="s">
        <v>31</v>
      </c>
      <c r="G7" s="36" t="s">
        <v>160</v>
      </c>
      <c r="H7" s="36" t="s">
        <v>172</v>
      </c>
    </row>
    <row r="8" spans="1:8" x14ac:dyDescent="0.2">
      <c r="A8" s="35" t="s">
        <v>357</v>
      </c>
      <c r="B8" s="36" t="s">
        <v>33</v>
      </c>
      <c r="C8" s="36" t="s">
        <v>2959</v>
      </c>
      <c r="D8" s="36" t="s">
        <v>2934</v>
      </c>
      <c r="F8" s="36" t="s">
        <v>232</v>
      </c>
      <c r="G8" s="36" t="s">
        <v>7</v>
      </c>
      <c r="H8" s="36" t="s">
        <v>6</v>
      </c>
    </row>
    <row r="9" spans="1:8" x14ac:dyDescent="0.2">
      <c r="A9" s="35" t="s">
        <v>249</v>
      </c>
      <c r="B9" s="36" t="s">
        <v>218</v>
      </c>
      <c r="C9" s="36" t="s">
        <v>108</v>
      </c>
      <c r="D9" s="36" t="s">
        <v>215</v>
      </c>
      <c r="F9" s="36" t="s">
        <v>231</v>
      </c>
      <c r="G9" s="36" t="s">
        <v>122</v>
      </c>
      <c r="H9" s="36" t="s">
        <v>4</v>
      </c>
    </row>
    <row r="10" spans="1:8" x14ac:dyDescent="0.2">
      <c r="A10" s="35" t="s">
        <v>114</v>
      </c>
      <c r="B10" s="36" t="s">
        <v>148</v>
      </c>
      <c r="C10" s="36" t="s">
        <v>145</v>
      </c>
      <c r="D10" s="36" t="s">
        <v>141</v>
      </c>
      <c r="F10" s="36" t="s">
        <v>217</v>
      </c>
      <c r="G10" s="36" t="s">
        <v>56</v>
      </c>
      <c r="H10" s="36" t="s">
        <v>164</v>
      </c>
    </row>
    <row r="11" spans="1:8" x14ac:dyDescent="0.2">
      <c r="A11" s="35" t="s">
        <v>211</v>
      </c>
      <c r="B11" s="36" t="s">
        <v>21</v>
      </c>
      <c r="C11" s="36" t="s">
        <v>155</v>
      </c>
      <c r="D11" s="36" t="s">
        <v>63</v>
      </c>
      <c r="G11" s="36" t="s">
        <v>111</v>
      </c>
      <c r="H11" s="36" t="s">
        <v>66</v>
      </c>
    </row>
    <row r="12" spans="1:8" x14ac:dyDescent="0.2">
      <c r="A12" s="35" t="s">
        <v>241</v>
      </c>
      <c r="B12" s="36" t="s">
        <v>161</v>
      </c>
      <c r="C12" s="36" t="s">
        <v>237</v>
      </c>
      <c r="D12" s="36" t="s">
        <v>2920</v>
      </c>
      <c r="G12" s="36" t="s">
        <v>134</v>
      </c>
    </row>
    <row r="13" spans="1:8" x14ac:dyDescent="0.2">
      <c r="A13" s="35" t="s">
        <v>119</v>
      </c>
      <c r="B13" s="36" t="s">
        <v>248</v>
      </c>
      <c r="C13" s="36" t="s">
        <v>48</v>
      </c>
      <c r="D13" s="35" t="s">
        <v>311</v>
      </c>
      <c r="G13" s="36" t="s">
        <v>116</v>
      </c>
    </row>
    <row r="14" spans="1:8" x14ac:dyDescent="0.2">
      <c r="A14" s="35" t="s">
        <v>253</v>
      </c>
      <c r="B14" s="36" t="s">
        <v>32</v>
      </c>
      <c r="C14" s="36" t="s">
        <v>2894</v>
      </c>
      <c r="D14" s="36" t="s">
        <v>133</v>
      </c>
      <c r="G14" s="36" t="s">
        <v>30</v>
      </c>
    </row>
    <row r="15" spans="1:8" x14ac:dyDescent="0.2">
      <c r="A15" s="35" t="s">
        <v>59</v>
      </c>
      <c r="B15" s="36" t="s">
        <v>130</v>
      </c>
      <c r="C15" s="36" t="s">
        <v>2185</v>
      </c>
      <c r="D15" s="36" t="s">
        <v>133</v>
      </c>
      <c r="G15" s="36" t="s">
        <v>177</v>
      </c>
    </row>
    <row r="16" spans="1:8" x14ac:dyDescent="0.2">
      <c r="A16" s="35" t="s">
        <v>310</v>
      </c>
      <c r="B16" s="36" t="s">
        <v>124</v>
      </c>
      <c r="C16" s="36" t="s">
        <v>10</v>
      </c>
      <c r="D16" s="36" t="s">
        <v>19</v>
      </c>
      <c r="G16" s="36" t="s">
        <v>16</v>
      </c>
    </row>
    <row r="17" spans="2:4" x14ac:dyDescent="0.2">
      <c r="B17" s="36" t="s">
        <v>165</v>
      </c>
      <c r="C17" s="36" t="s">
        <v>2893</v>
      </c>
      <c r="D17" s="36" t="s">
        <v>2895</v>
      </c>
    </row>
    <row r="18" spans="2:4" x14ac:dyDescent="0.2">
      <c r="B18" s="36" t="s">
        <v>12</v>
      </c>
      <c r="C18" s="36" t="s">
        <v>140</v>
      </c>
      <c r="D18" s="36" t="s">
        <v>185</v>
      </c>
    </row>
    <row r="19" spans="2:4" x14ac:dyDescent="0.2">
      <c r="B19" s="36" t="s">
        <v>209</v>
      </c>
      <c r="C19" s="36" t="s">
        <v>157</v>
      </c>
      <c r="D19" s="36" t="s">
        <v>219</v>
      </c>
    </row>
    <row r="20" spans="2:4" x14ac:dyDescent="0.2">
      <c r="B20" s="36" t="s">
        <v>38</v>
      </c>
      <c r="C20" s="36" t="s">
        <v>51</v>
      </c>
      <c r="D20" s="36" t="s">
        <v>23</v>
      </c>
    </row>
    <row r="21" spans="2:4" x14ac:dyDescent="0.2">
      <c r="B21" s="36" t="s">
        <v>166</v>
      </c>
      <c r="C21" s="36" t="s">
        <v>21</v>
      </c>
      <c r="D21" s="36" t="s">
        <v>18</v>
      </c>
    </row>
    <row r="22" spans="2:4" x14ac:dyDescent="0.2">
      <c r="B22" s="36" t="s">
        <v>143</v>
      </c>
      <c r="C22" s="36" t="s">
        <v>47</v>
      </c>
      <c r="D22" s="36" t="s">
        <v>246</v>
      </c>
    </row>
    <row r="23" spans="2:4" x14ac:dyDescent="0.2">
      <c r="B23" s="36" t="s">
        <v>171</v>
      </c>
      <c r="C23" s="36" t="s">
        <v>2960</v>
      </c>
      <c r="D23" s="36" t="s">
        <v>167</v>
      </c>
    </row>
    <row r="24" spans="2:4" x14ac:dyDescent="0.2">
      <c r="B24" s="36" t="s">
        <v>210</v>
      </c>
      <c r="C24" s="36" t="s">
        <v>126</v>
      </c>
      <c r="D24" s="36" t="s">
        <v>159</v>
      </c>
    </row>
    <row r="25" spans="2:4" x14ac:dyDescent="0.2">
      <c r="B25" s="36" t="s">
        <v>5</v>
      </c>
      <c r="C25" s="36" t="s">
        <v>121</v>
      </c>
      <c r="D25" s="36" t="s">
        <v>53</v>
      </c>
    </row>
    <row r="26" spans="2:4" x14ac:dyDescent="0.2">
      <c r="B26" s="36" t="s">
        <v>174</v>
      </c>
      <c r="C26" s="36" t="s">
        <v>312</v>
      </c>
      <c r="D26" s="36" t="s">
        <v>25</v>
      </c>
    </row>
    <row r="27" spans="2:4" x14ac:dyDescent="0.2">
      <c r="B27" s="36" t="s">
        <v>178</v>
      </c>
      <c r="C27" s="36" t="s">
        <v>2962</v>
      </c>
      <c r="D27" s="36" t="s">
        <v>146</v>
      </c>
    </row>
    <row r="28" spans="2:4" x14ac:dyDescent="0.2">
      <c r="B28" s="36" t="s">
        <v>42</v>
      </c>
      <c r="C28" s="36" t="s">
        <v>43</v>
      </c>
      <c r="D28" s="36" t="s">
        <v>146</v>
      </c>
    </row>
    <row r="29" spans="2:4" x14ac:dyDescent="0.2">
      <c r="B29" s="36" t="s">
        <v>37</v>
      </c>
      <c r="C29" s="36" t="s">
        <v>9</v>
      </c>
      <c r="D29" s="35" t="s">
        <v>934</v>
      </c>
    </row>
    <row r="30" spans="2:4" x14ac:dyDescent="0.2">
      <c r="B30" s="36" t="s">
        <v>34</v>
      </c>
      <c r="C30" s="36" t="s">
        <v>147</v>
      </c>
      <c r="D30" s="36" t="s">
        <v>212</v>
      </c>
    </row>
    <row r="31" spans="2:4" x14ac:dyDescent="0.2">
      <c r="B31" s="36" t="s">
        <v>144</v>
      </c>
      <c r="C31" s="36" t="s">
        <v>29</v>
      </c>
      <c r="D31" s="36" t="s">
        <v>173</v>
      </c>
    </row>
    <row r="32" spans="2:4" x14ac:dyDescent="0.2">
      <c r="B32" s="36" t="s">
        <v>150</v>
      </c>
      <c r="C32" s="36" t="s">
        <v>110</v>
      </c>
      <c r="D32" s="36" t="s">
        <v>173</v>
      </c>
    </row>
    <row r="33" spans="2:4" x14ac:dyDescent="0.2">
      <c r="B33" s="36" t="s">
        <v>2206</v>
      </c>
      <c r="C33" s="36" t="s">
        <v>244</v>
      </c>
      <c r="D33" s="36" t="s">
        <v>154</v>
      </c>
    </row>
    <row r="34" spans="2:4" x14ac:dyDescent="0.2">
      <c r="B34" s="36" t="s">
        <v>45</v>
      </c>
      <c r="C34" s="36" t="s">
        <v>40</v>
      </c>
      <c r="D34" s="36" t="s">
        <v>154</v>
      </c>
    </row>
    <row r="35" spans="2:4" x14ac:dyDescent="0.2">
      <c r="B35" s="36" t="s">
        <v>49</v>
      </c>
      <c r="D35" s="36" t="s">
        <v>28</v>
      </c>
    </row>
    <row r="36" spans="2:4" x14ac:dyDescent="0.2">
      <c r="B36" s="36" t="s">
        <v>50</v>
      </c>
      <c r="D36" s="36" t="s">
        <v>28</v>
      </c>
    </row>
    <row r="37" spans="2:4" x14ac:dyDescent="0.2">
      <c r="B37" s="36" t="s">
        <v>58</v>
      </c>
      <c r="D37" s="36" t="s">
        <v>60</v>
      </c>
    </row>
    <row r="38" spans="2:4" x14ac:dyDescent="0.2">
      <c r="B38" s="36" t="s">
        <v>214</v>
      </c>
      <c r="D38" s="36" t="s">
        <v>1923</v>
      </c>
    </row>
    <row r="39" spans="2:4" x14ac:dyDescent="0.2">
      <c r="B39" s="36" t="s">
        <v>216</v>
      </c>
      <c r="D39" s="36" t="s">
        <v>2907</v>
      </c>
    </row>
    <row r="40" spans="2:4" x14ac:dyDescent="0.2">
      <c r="B40" s="36" t="s">
        <v>181</v>
      </c>
      <c r="D40" s="36" t="s">
        <v>153</v>
      </c>
    </row>
    <row r="41" spans="2:4" x14ac:dyDescent="0.2">
      <c r="B41" s="36" t="s">
        <v>182</v>
      </c>
      <c r="D41" s="36" t="s">
        <v>64</v>
      </c>
    </row>
    <row r="42" spans="2:4" x14ac:dyDescent="0.2">
      <c r="B42" s="36" t="s">
        <v>184</v>
      </c>
      <c r="D42" s="36" t="s">
        <v>2913</v>
      </c>
    </row>
    <row r="43" spans="2:4" x14ac:dyDescent="0.2">
      <c r="B43" s="36" t="s">
        <v>186</v>
      </c>
      <c r="D43" s="36" t="s">
        <v>2939</v>
      </c>
    </row>
    <row r="44" spans="2:4" x14ac:dyDescent="0.2">
      <c r="B44" s="36" t="s">
        <v>168</v>
      </c>
      <c r="D44" s="36" t="s">
        <v>109</v>
      </c>
    </row>
    <row r="45" spans="2:4" x14ac:dyDescent="0.2">
      <c r="B45" s="36" t="s">
        <v>170</v>
      </c>
      <c r="D45" s="36" t="s">
        <v>15</v>
      </c>
    </row>
    <row r="46" spans="2:4" x14ac:dyDescent="0.2">
      <c r="B46" s="36" t="s">
        <v>26</v>
      </c>
      <c r="D46" s="36" t="s">
        <v>2941</v>
      </c>
    </row>
    <row r="47" spans="2:4" x14ac:dyDescent="0.2">
      <c r="B47" s="36" t="s">
        <v>1997</v>
      </c>
      <c r="D47" s="36" t="s">
        <v>251</v>
      </c>
    </row>
    <row r="48" spans="2:4" x14ac:dyDescent="0.2">
      <c r="B48" s="35" t="s">
        <v>310</v>
      </c>
      <c r="D48" s="36" t="s">
        <v>169</v>
      </c>
    </row>
    <row r="49" spans="4:4" x14ac:dyDescent="0.2">
      <c r="D49" s="36" t="s">
        <v>179</v>
      </c>
    </row>
    <row r="50" spans="4:4" x14ac:dyDescent="0.2">
      <c r="D50" s="35" t="s">
        <v>2160</v>
      </c>
    </row>
    <row r="51" spans="4:4" x14ac:dyDescent="0.2">
      <c r="D51" s="36" t="s">
        <v>20</v>
      </c>
    </row>
    <row r="52" spans="4:4" x14ac:dyDescent="0.2">
      <c r="D52" s="36" t="s">
        <v>220</v>
      </c>
    </row>
    <row r="53" spans="4:4" x14ac:dyDescent="0.2">
      <c r="D53" s="36" t="s">
        <v>117</v>
      </c>
    </row>
    <row r="54" spans="4:4" x14ac:dyDescent="0.2">
      <c r="D54" s="36" t="s">
        <v>117</v>
      </c>
    </row>
    <row r="55" spans="4:4" x14ac:dyDescent="0.2">
      <c r="D55" s="36" t="s">
        <v>158</v>
      </c>
    </row>
    <row r="56" spans="4:4" x14ac:dyDescent="0.2">
      <c r="D56" s="36" t="s">
        <v>44</v>
      </c>
    </row>
    <row r="57" spans="4:4" x14ac:dyDescent="0.2">
      <c r="D57" s="36" t="s">
        <v>21</v>
      </c>
    </row>
    <row r="58" spans="4:4" x14ac:dyDescent="0.2">
      <c r="D58" s="36" t="s">
        <v>163</v>
      </c>
    </row>
    <row r="59" spans="4:4" x14ac:dyDescent="0.2">
      <c r="D59" s="36" t="s">
        <v>127</v>
      </c>
    </row>
    <row r="60" spans="4:4" x14ac:dyDescent="0.2">
      <c r="D60" s="35" t="s">
        <v>374</v>
      </c>
    </row>
    <row r="61" spans="4:4" x14ac:dyDescent="0.2">
      <c r="D61" s="36" t="s">
        <v>22</v>
      </c>
    </row>
    <row r="62" spans="4:4" x14ac:dyDescent="0.2">
      <c r="D62" s="36" t="s">
        <v>2917</v>
      </c>
    </row>
    <row r="63" spans="4:4" x14ac:dyDescent="0.2">
      <c r="D63" s="35" t="s">
        <v>1779</v>
      </c>
    </row>
    <row r="64" spans="4:4" x14ac:dyDescent="0.2">
      <c r="D64" s="36" t="s">
        <v>213</v>
      </c>
    </row>
    <row r="65" spans="4:4" x14ac:dyDescent="0.2">
      <c r="D65" s="36" t="s">
        <v>2932</v>
      </c>
    </row>
    <row r="66" spans="4:4" x14ac:dyDescent="0.2">
      <c r="D66" s="36" t="s">
        <v>183</v>
      </c>
    </row>
    <row r="67" spans="4:4" x14ac:dyDescent="0.2">
      <c r="D67" s="36" t="s">
        <v>2923</v>
      </c>
    </row>
    <row r="68" spans="4:4" x14ac:dyDescent="0.2">
      <c r="D68" s="36" t="s">
        <v>2896</v>
      </c>
    </row>
    <row r="69" spans="4:4" x14ac:dyDescent="0.2">
      <c r="D69" s="32" t="s">
        <v>2909</v>
      </c>
    </row>
    <row r="70" spans="4:4" x14ac:dyDescent="0.2">
      <c r="D70" s="36" t="s">
        <v>121</v>
      </c>
    </row>
    <row r="71" spans="4:4" x14ac:dyDescent="0.2">
      <c r="D71" s="36" t="s">
        <v>208</v>
      </c>
    </row>
    <row r="72" spans="4:4" x14ac:dyDescent="0.2">
      <c r="D72" s="36" t="s">
        <v>2955</v>
      </c>
    </row>
    <row r="73" spans="4:4" x14ac:dyDescent="0.2">
      <c r="D73" s="36" t="s">
        <v>17</v>
      </c>
    </row>
    <row r="74" spans="4:4" x14ac:dyDescent="0.2">
      <c r="D74" s="36" t="s">
        <v>2910</v>
      </c>
    </row>
    <row r="75" spans="4:4" x14ac:dyDescent="0.2">
      <c r="D75" s="36" t="s">
        <v>57</v>
      </c>
    </row>
    <row r="76" spans="4:4" x14ac:dyDescent="0.2">
      <c r="D76" s="36" t="s">
        <v>24</v>
      </c>
    </row>
    <row r="77" spans="4:4" x14ac:dyDescent="0.2">
      <c r="D77" s="36" t="s">
        <v>65</v>
      </c>
    </row>
    <row r="78" spans="4:4" x14ac:dyDescent="0.2">
      <c r="D78" s="35" t="s">
        <v>2930</v>
      </c>
    </row>
    <row r="79" spans="4:4" x14ac:dyDescent="0.2">
      <c r="D79" s="36" t="s">
        <v>46</v>
      </c>
    </row>
    <row r="80" spans="4:4" x14ac:dyDescent="0.2">
      <c r="D80" s="36" t="s">
        <v>8</v>
      </c>
    </row>
    <row r="81" spans="4:4" x14ac:dyDescent="0.2">
      <c r="D81" s="36" t="s">
        <v>13</v>
      </c>
    </row>
    <row r="82" spans="4:4" x14ac:dyDescent="0.2">
      <c r="D82" s="36" t="s">
        <v>156</v>
      </c>
    </row>
    <row r="83" spans="4:4" x14ac:dyDescent="0.2">
      <c r="D83" s="36" t="s">
        <v>2957</v>
      </c>
    </row>
    <row r="84" spans="4:4" x14ac:dyDescent="0.2">
      <c r="D84" s="36" t="s">
        <v>147</v>
      </c>
    </row>
    <row r="85" spans="4:4" x14ac:dyDescent="0.2">
      <c r="D85" s="36" t="s">
        <v>152</v>
      </c>
    </row>
    <row r="86" spans="4:4" x14ac:dyDescent="0.2">
      <c r="D86" s="36" t="s">
        <v>152</v>
      </c>
    </row>
    <row r="87" spans="4:4" x14ac:dyDescent="0.2">
      <c r="D87" s="54" t="s">
        <v>123</v>
      </c>
    </row>
    <row r="88" spans="4:4" x14ac:dyDescent="0.2">
      <c r="D88" s="54" t="s">
        <v>29</v>
      </c>
    </row>
    <row r="89" spans="4:4" x14ac:dyDescent="0.2">
      <c r="D89" s="54" t="s">
        <v>2928</v>
      </c>
    </row>
    <row r="90" spans="4:4" x14ac:dyDescent="0.2">
      <c r="D90" s="54" t="s">
        <v>162</v>
      </c>
    </row>
    <row r="91" spans="4:4" x14ac:dyDescent="0.2">
      <c r="D91" s="54" t="s">
        <v>112</v>
      </c>
    </row>
    <row r="92" spans="4:4" x14ac:dyDescent="0.2">
      <c r="D92" s="36" t="s">
        <v>41</v>
      </c>
    </row>
    <row r="93" spans="4:4" x14ac:dyDescent="0.2">
      <c r="D93" s="32" t="s">
        <v>2908</v>
      </c>
    </row>
  </sheetData>
  <autoFilter ref="A1:H1" xr:uid="{DB73967B-66B6-422A-A3DC-0353BB6BEDE6}"/>
  <sortState xmlns:xlrd2="http://schemas.microsoft.com/office/spreadsheetml/2017/richdata2" ref="D2:D94">
    <sortCondition ref="D2:D94"/>
  </sortState>
  <pageMargins left="0.7" right="0.7" top="0.75" bottom="0.75" header="0.3" footer="0.3"/>
  <pageSetup orientation="portrait" verticalDpi="0" r:id="rId1"/>
</worksheet>
</file>

<file path=xl/worksheets/sheet10.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46"/>
  <sheetViews>
    <sheetView topLeftCell="A8" zoomScale="55" zoomScaleNormal="55" workbookViewId="0">
      <selection activeCell="D9" sqref="D9"/>
    </sheetView>
  </sheetViews>
  <sheetFormatPr defaultColWidth="9.140625" defaultRowHeight="15.75" x14ac:dyDescent="0.25"/>
  <cols>
    <col min="1" max="1" width="31.85546875" style="3" bestFit="1" customWidth="1"/>
    <col min="2" max="2" width="3.28515625" style="3" bestFit="1" customWidth="1"/>
    <col min="3" max="3" width="40.85546875" style="3" bestFit="1" customWidth="1"/>
    <col min="4" max="4" width="87.7109375" style="4" customWidth="1"/>
    <col min="5" max="16384" width="9.140625" style="3"/>
  </cols>
  <sheetData>
    <row r="1" spans="1:4" x14ac:dyDescent="0.25">
      <c r="A1" s="5" t="s">
        <v>68</v>
      </c>
      <c r="B1" s="5"/>
    </row>
    <row r="3" spans="1:4" x14ac:dyDescent="0.25">
      <c r="A3" s="3" t="s">
        <v>3</v>
      </c>
    </row>
    <row r="4" spans="1:4" x14ac:dyDescent="0.25">
      <c r="A4" s="3" t="s">
        <v>69</v>
      </c>
    </row>
    <row r="5" spans="1:4" ht="16.5" thickBot="1" x14ac:dyDescent="0.3"/>
    <row r="6" spans="1:4" ht="16.5" thickBot="1" x14ac:dyDescent="0.3">
      <c r="A6" s="9" t="s">
        <v>70</v>
      </c>
      <c r="B6" s="10" t="s">
        <v>71</v>
      </c>
      <c r="C6" s="11"/>
      <c r="D6" s="12" t="s">
        <v>72</v>
      </c>
    </row>
    <row r="7" spans="1:4" ht="31.5" x14ac:dyDescent="0.25">
      <c r="A7" s="1" t="s">
        <v>194</v>
      </c>
      <c r="B7" s="2">
        <v>1</v>
      </c>
      <c r="C7" s="13" t="s">
        <v>221</v>
      </c>
      <c r="D7" s="14" t="s">
        <v>73</v>
      </c>
    </row>
    <row r="8" spans="1:4" ht="32.25" thickBot="1" x14ac:dyDescent="0.3">
      <c r="A8" s="15"/>
      <c r="B8" s="16">
        <v>2</v>
      </c>
      <c r="C8" s="17" t="s">
        <v>206</v>
      </c>
      <c r="D8" s="18" t="s">
        <v>74</v>
      </c>
    </row>
    <row r="9" spans="1:4" ht="31.5" x14ac:dyDescent="0.25">
      <c r="A9" s="1" t="s">
        <v>75</v>
      </c>
      <c r="B9" s="2">
        <v>3</v>
      </c>
      <c r="C9" s="13" t="s">
        <v>229</v>
      </c>
      <c r="D9" s="14" t="s">
        <v>76</v>
      </c>
    </row>
    <row r="10" spans="1:4" ht="32.25" thickBot="1" x14ac:dyDescent="0.3">
      <c r="A10" s="15"/>
      <c r="B10" s="16">
        <v>4</v>
      </c>
      <c r="C10" s="19" t="s">
        <v>226</v>
      </c>
      <c r="D10" s="18" t="s">
        <v>77</v>
      </c>
    </row>
    <row r="11" spans="1:4" ht="31.5" x14ac:dyDescent="0.25">
      <c r="A11" s="1" t="s">
        <v>78</v>
      </c>
      <c r="B11" s="2">
        <v>5</v>
      </c>
      <c r="C11" s="13" t="s">
        <v>222</v>
      </c>
      <c r="D11" s="14" t="s">
        <v>79</v>
      </c>
    </row>
    <row r="12" spans="1:4" ht="32.25" thickBot="1" x14ac:dyDescent="0.3">
      <c r="A12" s="20"/>
      <c r="B12" s="5">
        <v>6</v>
      </c>
      <c r="C12" s="21" t="s">
        <v>224</v>
      </c>
      <c r="D12" s="22" t="s">
        <v>80</v>
      </c>
    </row>
    <row r="13" spans="1:4" ht="31.5" x14ac:dyDescent="0.25">
      <c r="A13" s="1" t="s">
        <v>195</v>
      </c>
      <c r="B13" s="2">
        <v>7</v>
      </c>
      <c r="C13" s="13" t="s">
        <v>137</v>
      </c>
      <c r="D13" s="14" t="s">
        <v>81</v>
      </c>
    </row>
    <row r="14" spans="1:4" ht="31.5" x14ac:dyDescent="0.25">
      <c r="A14" s="20"/>
      <c r="B14" s="5">
        <v>8</v>
      </c>
      <c r="C14" s="23" t="s">
        <v>205</v>
      </c>
      <c r="D14" s="24" t="s">
        <v>82</v>
      </c>
    </row>
    <row r="15" spans="1:4" x14ac:dyDescent="0.25">
      <c r="A15" s="20"/>
      <c r="B15" s="5">
        <v>9</v>
      </c>
      <c r="C15" s="25" t="s">
        <v>202</v>
      </c>
      <c r="D15" s="24" t="s">
        <v>83</v>
      </c>
    </row>
    <row r="16" spans="1:4" x14ac:dyDescent="0.25">
      <c r="A16" s="20"/>
      <c r="B16" s="5">
        <v>10</v>
      </c>
      <c r="C16" s="23" t="s">
        <v>203</v>
      </c>
      <c r="D16" s="24" t="s">
        <v>84</v>
      </c>
    </row>
    <row r="17" spans="1:4" x14ac:dyDescent="0.25">
      <c r="A17" s="20"/>
      <c r="B17" s="5">
        <v>11</v>
      </c>
      <c r="C17" s="26" t="s">
        <v>204</v>
      </c>
      <c r="D17" s="24" t="s">
        <v>85</v>
      </c>
    </row>
    <row r="18" spans="1:4" ht="31.5" x14ac:dyDescent="0.25">
      <c r="A18" s="20"/>
      <c r="B18" s="5">
        <v>12</v>
      </c>
      <c r="C18" s="27" t="s">
        <v>175</v>
      </c>
      <c r="D18" s="24" t="s">
        <v>86</v>
      </c>
    </row>
    <row r="19" spans="1:4" ht="31.5" x14ac:dyDescent="0.25">
      <c r="A19" s="20"/>
      <c r="B19" s="5">
        <v>13</v>
      </c>
      <c r="C19" s="27" t="s">
        <v>176</v>
      </c>
      <c r="D19" s="24" t="s">
        <v>87</v>
      </c>
    </row>
    <row r="20" spans="1:4" x14ac:dyDescent="0.25">
      <c r="A20" s="20"/>
      <c r="B20" s="5">
        <v>14</v>
      </c>
      <c r="C20" s="23" t="s">
        <v>232</v>
      </c>
      <c r="D20" s="24"/>
    </row>
    <row r="21" spans="1:4" ht="47.25" x14ac:dyDescent="0.25">
      <c r="A21" s="20"/>
      <c r="B21" s="5">
        <v>15</v>
      </c>
      <c r="C21" s="23" t="s">
        <v>235</v>
      </c>
      <c r="D21" s="24" t="s">
        <v>88</v>
      </c>
    </row>
    <row r="22" spans="1:4" ht="48" thickBot="1" x14ac:dyDescent="0.3">
      <c r="A22" s="15"/>
      <c r="B22" s="16">
        <v>16</v>
      </c>
      <c r="C22" s="19" t="s">
        <v>236</v>
      </c>
      <c r="D22" s="18" t="s">
        <v>89</v>
      </c>
    </row>
    <row r="23" spans="1:4" ht="31.5" x14ac:dyDescent="0.25">
      <c r="A23" s="1" t="s">
        <v>197</v>
      </c>
      <c r="B23" s="2">
        <v>17</v>
      </c>
      <c r="C23" s="28" t="s">
        <v>90</v>
      </c>
      <c r="D23" s="14" t="s">
        <v>91</v>
      </c>
    </row>
    <row r="24" spans="1:4" ht="110.25" x14ac:dyDescent="0.25">
      <c r="A24" s="20"/>
      <c r="B24" s="5">
        <v>18</v>
      </c>
      <c r="C24" s="27" t="s">
        <v>192</v>
      </c>
      <c r="D24" s="24" t="s">
        <v>193</v>
      </c>
    </row>
    <row r="25" spans="1:4" ht="31.5" x14ac:dyDescent="0.25">
      <c r="A25" s="20"/>
      <c r="B25" s="5">
        <v>19</v>
      </c>
      <c r="C25" s="23" t="s">
        <v>201</v>
      </c>
      <c r="D25" s="24" t="s">
        <v>92</v>
      </c>
    </row>
    <row r="26" spans="1:4" ht="63" x14ac:dyDescent="0.25">
      <c r="A26" s="20"/>
      <c r="B26" s="5">
        <v>20</v>
      </c>
      <c r="C26" s="23" t="s">
        <v>225</v>
      </c>
      <c r="D26" s="24" t="s">
        <v>0</v>
      </c>
    </row>
    <row r="27" spans="1:4" ht="47.25" x14ac:dyDescent="0.25">
      <c r="A27" s="20"/>
      <c r="B27" s="5">
        <v>21</v>
      </c>
      <c r="C27" s="23" t="s">
        <v>223</v>
      </c>
      <c r="D27" s="24" t="s">
        <v>191</v>
      </c>
    </row>
    <row r="28" spans="1:4" ht="47.25" x14ac:dyDescent="0.25">
      <c r="A28" s="20"/>
      <c r="B28" s="5">
        <v>22</v>
      </c>
      <c r="C28" s="23" t="s">
        <v>227</v>
      </c>
      <c r="D28" s="24" t="s">
        <v>190</v>
      </c>
    </row>
    <row r="29" spans="1:4" ht="16.5" thickBot="1" x14ac:dyDescent="0.3">
      <c r="A29" s="15"/>
      <c r="B29" s="16">
        <v>23</v>
      </c>
      <c r="C29" s="19" t="s">
        <v>230</v>
      </c>
      <c r="D29" s="18" t="s">
        <v>93</v>
      </c>
    </row>
    <row r="30" spans="1:4" x14ac:dyDescent="0.25">
      <c r="A30" s="20" t="s">
        <v>196</v>
      </c>
      <c r="B30" s="5">
        <v>24</v>
      </c>
      <c r="C30" s="23" t="s">
        <v>94</v>
      </c>
      <c r="D30" s="24" t="s">
        <v>95</v>
      </c>
    </row>
    <row r="31" spans="1:4" ht="32.25" thickBot="1" x14ac:dyDescent="0.3">
      <c r="A31" s="15"/>
      <c r="B31" s="16">
        <v>25</v>
      </c>
      <c r="C31" s="19" t="s">
        <v>228</v>
      </c>
      <c r="D31" s="18" t="s">
        <v>96</v>
      </c>
    </row>
    <row r="32" spans="1:4" x14ac:dyDescent="0.25">
      <c r="A32" s="1" t="s">
        <v>198</v>
      </c>
      <c r="B32" s="2">
        <v>26</v>
      </c>
      <c r="C32" s="13" t="s">
        <v>233</v>
      </c>
      <c r="D32" s="14" t="s">
        <v>97</v>
      </c>
    </row>
    <row r="33" spans="1:4" x14ac:dyDescent="0.25">
      <c r="A33" s="20"/>
      <c r="B33" s="5">
        <v>27</v>
      </c>
      <c r="C33" s="23" t="s">
        <v>207</v>
      </c>
      <c r="D33" s="24" t="s">
        <v>98</v>
      </c>
    </row>
    <row r="34" spans="1:4" x14ac:dyDescent="0.25">
      <c r="A34" s="20"/>
      <c r="B34" s="5">
        <v>28</v>
      </c>
      <c r="C34" s="23" t="s">
        <v>234</v>
      </c>
      <c r="D34" s="24" t="s">
        <v>99</v>
      </c>
    </row>
    <row r="35" spans="1:4" ht="16.5" thickBot="1" x14ac:dyDescent="0.3">
      <c r="A35" s="15"/>
      <c r="B35" s="16">
        <v>29</v>
      </c>
      <c r="C35" s="29" t="s">
        <v>199</v>
      </c>
      <c r="D35" s="18" t="s">
        <v>100</v>
      </c>
    </row>
    <row r="36" spans="1:4" x14ac:dyDescent="0.25">
      <c r="A36" s="5"/>
      <c r="B36" s="5"/>
    </row>
    <row r="37" spans="1:4" x14ac:dyDescent="0.25">
      <c r="A37" s="5"/>
      <c r="B37" s="5"/>
    </row>
    <row r="38" spans="1:4" x14ac:dyDescent="0.25">
      <c r="A38" s="6" t="s">
        <v>101</v>
      </c>
      <c r="B38" s="6"/>
    </row>
    <row r="39" spans="1:4" ht="62.25" customHeight="1" x14ac:dyDescent="0.25">
      <c r="A39" s="7" t="s">
        <v>102</v>
      </c>
      <c r="B39" s="7"/>
      <c r="C39" s="107" t="s">
        <v>1</v>
      </c>
      <c r="D39" s="107"/>
    </row>
    <row r="40" spans="1:4" ht="75.75" customHeight="1" x14ac:dyDescent="0.25">
      <c r="A40" s="7" t="s">
        <v>103</v>
      </c>
      <c r="B40" s="7"/>
      <c r="C40" s="107" t="s">
        <v>2</v>
      </c>
      <c r="D40" s="107"/>
    </row>
    <row r="41" spans="1:4" ht="47.25" customHeight="1" x14ac:dyDescent="0.25">
      <c r="A41" s="8" t="s">
        <v>104</v>
      </c>
      <c r="B41" s="8"/>
      <c r="C41" s="108" t="s">
        <v>105</v>
      </c>
      <c r="D41" s="108"/>
    </row>
    <row r="42" spans="1:4" ht="23.25" customHeight="1" x14ac:dyDescent="0.25">
      <c r="A42" s="5" t="s">
        <v>189</v>
      </c>
      <c r="B42" s="5"/>
      <c r="C42" s="3" t="s">
        <v>188</v>
      </c>
    </row>
    <row r="43" spans="1:4" x14ac:dyDescent="0.25">
      <c r="A43" s="5"/>
      <c r="B43" s="5"/>
    </row>
    <row r="44" spans="1:4" x14ac:dyDescent="0.25">
      <c r="A44" s="6" t="s">
        <v>106</v>
      </c>
      <c r="B44" s="6"/>
      <c r="C44" s="3" t="s">
        <v>107</v>
      </c>
    </row>
    <row r="45" spans="1:4" x14ac:dyDescent="0.25">
      <c r="A45" s="5"/>
      <c r="B45" s="5"/>
      <c r="C45" s="30" t="s">
        <v>252</v>
      </c>
    </row>
    <row r="46" spans="1:4" x14ac:dyDescent="0.25">
      <c r="A46" s="5"/>
      <c r="B46" s="5"/>
    </row>
  </sheetData>
  <mergeCells count="3">
    <mergeCell ref="C39:D39"/>
    <mergeCell ref="C40:D40"/>
    <mergeCell ref="C41:D41"/>
  </mergeCells>
  <phoneticPr fontId="3" type="noConversion"/>
  <hyperlinks>
    <hyperlink ref="C45" r:id="rId1" xr:uid="{00000000-0004-0000-0200-000000000000}"/>
  </hyperlinks>
  <pageMargins left="0.75" right="0.75" top="1" bottom="1" header="0.5" footer="0.5"/>
  <pageSetup paperSize="9" orientation="portrait"/>
  <headerFooter alignWithMargins="0"/>
</worksheet>
</file>

<file path=xl/worksheets/sheet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462932-4897-4B9A-8E1C-9F7AFF98E4E4}">
  <dimension ref="A1:AQ1574"/>
  <sheetViews>
    <sheetView zoomScale="70" zoomScaleNormal="70" workbookViewId="0">
      <pane ySplit="1" topLeftCell="A1538" activePane="bottomLeft" state="frozen"/>
      <selection activeCell="O1" sqref="O1"/>
      <selection pane="bottomLeft" activeCell="D1576" sqref="D1576"/>
    </sheetView>
  </sheetViews>
  <sheetFormatPr defaultColWidth="8.7109375" defaultRowHeight="12.75" x14ac:dyDescent="0.2"/>
  <cols>
    <col min="1" max="1" width="8.7109375" style="40"/>
    <col min="2" max="2" width="7.5703125" style="40" bestFit="1" customWidth="1"/>
    <col min="3" max="3" width="12.140625" style="40" customWidth="1"/>
    <col min="4" max="4" width="23.5703125" style="38" bestFit="1" customWidth="1"/>
    <col min="5" max="5" width="13.7109375" style="32" customWidth="1"/>
    <col min="6" max="6" width="10.85546875" style="32" bestFit="1" customWidth="1"/>
    <col min="7" max="7" width="13.85546875" style="38" bestFit="1" customWidth="1"/>
    <col min="8" max="8" width="18.5703125" style="32" customWidth="1"/>
    <col min="9" max="9" width="13.5703125" style="32" customWidth="1"/>
    <col min="10" max="11" width="12.140625" style="32" customWidth="1"/>
    <col min="12" max="12" width="10.140625" style="32" customWidth="1"/>
    <col min="13" max="13" width="11.85546875" style="32" customWidth="1"/>
    <col min="14" max="14" width="17.5703125" style="40" customWidth="1"/>
    <col min="15" max="15" width="17.5703125" style="32" customWidth="1"/>
    <col min="16" max="16" width="14.85546875" style="32" customWidth="1"/>
    <col min="17" max="17" width="15.140625" style="32" customWidth="1"/>
    <col min="18" max="18" width="67.42578125" style="32" customWidth="1"/>
    <col min="19" max="19" width="15.140625" style="32" customWidth="1"/>
    <col min="20" max="20" width="10.5703125" style="32" bestFit="1" customWidth="1"/>
    <col min="21" max="24" width="10.5703125" style="32" customWidth="1"/>
    <col min="25" max="25" width="10.85546875" style="32" customWidth="1"/>
    <col min="26" max="26" width="13.5703125" style="38" bestFit="1" customWidth="1"/>
    <col min="27" max="27" width="22.28515625" style="35" hidden="1" customWidth="1"/>
    <col min="28" max="29" width="15" style="32" hidden="1" customWidth="1"/>
    <col min="30" max="30" width="22.28515625" style="35" hidden="1" customWidth="1"/>
    <col min="31" max="31" width="11.7109375" style="32" hidden="1" customWidth="1"/>
    <col min="32" max="32" width="22.28515625" style="32" hidden="1" customWidth="1"/>
    <col min="33" max="34" width="22.28515625" style="32" customWidth="1"/>
    <col min="35" max="35" width="15" style="32" customWidth="1"/>
    <col min="36" max="36" width="15" style="35" customWidth="1"/>
    <col min="37" max="37" width="12" style="40" bestFit="1" customWidth="1"/>
    <col min="38" max="38" width="15.5703125" style="32" bestFit="1" customWidth="1"/>
    <col min="39" max="39" width="9" style="32" bestFit="1" customWidth="1"/>
    <col min="40" max="40" width="17.42578125" style="32" customWidth="1"/>
    <col min="41" max="41" width="8.7109375" style="38"/>
    <col min="42" max="42" width="8.7109375" style="35"/>
    <col min="43" max="43" width="11.7109375" style="32" customWidth="1"/>
    <col min="44" max="16384" width="8.7109375" style="32"/>
  </cols>
  <sheetData>
    <row r="1" spans="1:43" s="41" customFormat="1" ht="13.5" thickBot="1" x14ac:dyDescent="0.25">
      <c r="A1" s="45" t="s">
        <v>256</v>
      </c>
      <c r="B1" s="46" t="s">
        <v>221</v>
      </c>
      <c r="C1" s="46" t="s">
        <v>229</v>
      </c>
      <c r="D1" s="47" t="s">
        <v>226</v>
      </c>
      <c r="E1" s="39" t="s">
        <v>2182</v>
      </c>
      <c r="F1" s="39" t="s">
        <v>222</v>
      </c>
      <c r="G1" s="47" t="s">
        <v>224</v>
      </c>
      <c r="H1" s="39" t="s">
        <v>205</v>
      </c>
      <c r="I1" s="41" t="s">
        <v>202</v>
      </c>
      <c r="J1" s="39" t="s">
        <v>203</v>
      </c>
      <c r="K1" s="39" t="s">
        <v>137</v>
      </c>
      <c r="L1" s="39" t="s">
        <v>235</v>
      </c>
      <c r="M1" s="39" t="s">
        <v>236</v>
      </c>
      <c r="N1" s="46" t="s">
        <v>200</v>
      </c>
      <c r="O1" s="39" t="s">
        <v>2882</v>
      </c>
      <c r="P1" s="39" t="s">
        <v>201</v>
      </c>
      <c r="Q1" s="39" t="s">
        <v>254</v>
      </c>
      <c r="R1" s="39" t="s">
        <v>263</v>
      </c>
      <c r="S1" s="39" t="s">
        <v>223</v>
      </c>
      <c r="T1" s="39" t="s">
        <v>227</v>
      </c>
      <c r="U1" s="39" t="s">
        <v>2255</v>
      </c>
      <c r="V1" s="39" t="s">
        <v>2256</v>
      </c>
      <c r="W1" s="39" t="s">
        <v>2863</v>
      </c>
      <c r="X1" s="39" t="s">
        <v>2861</v>
      </c>
      <c r="Y1" s="39" t="s">
        <v>2862</v>
      </c>
      <c r="Z1" s="47" t="s">
        <v>230</v>
      </c>
      <c r="AA1" s="37" t="s">
        <v>1398</v>
      </c>
      <c r="AB1" s="39" t="s">
        <v>408</v>
      </c>
      <c r="AC1" s="37" t="s">
        <v>2257</v>
      </c>
      <c r="AD1" s="37" t="s">
        <v>1512</v>
      </c>
      <c r="AE1" s="39" t="s">
        <v>2285</v>
      </c>
      <c r="AF1" s="37" t="s">
        <v>2282</v>
      </c>
      <c r="AG1" s="39" t="s">
        <v>2867</v>
      </c>
      <c r="AH1" s="39" t="s">
        <v>2864</v>
      </c>
      <c r="AI1" s="39" t="s">
        <v>94</v>
      </c>
      <c r="AJ1" s="48" t="s">
        <v>2241</v>
      </c>
      <c r="AK1" s="49" t="s">
        <v>233</v>
      </c>
      <c r="AL1" s="50" t="s">
        <v>207</v>
      </c>
      <c r="AM1" s="39" t="s">
        <v>234</v>
      </c>
      <c r="AN1" s="41" t="s">
        <v>199</v>
      </c>
      <c r="AO1" s="42" t="s">
        <v>540</v>
      </c>
      <c r="AP1" s="34" t="s">
        <v>255</v>
      </c>
    </row>
    <row r="2" spans="1:43" x14ac:dyDescent="0.2">
      <c r="A2" s="40">
        <v>1</v>
      </c>
      <c r="B2" s="40">
        <v>1</v>
      </c>
      <c r="C2" s="51" t="s">
        <v>119</v>
      </c>
      <c r="D2" s="38" t="s">
        <v>128</v>
      </c>
      <c r="E2" s="32" t="s">
        <v>2184</v>
      </c>
      <c r="F2" s="32" t="s">
        <v>47</v>
      </c>
      <c r="G2" s="38" t="s">
        <v>183</v>
      </c>
      <c r="H2" s="32" t="s">
        <v>115</v>
      </c>
      <c r="I2" s="32" t="s">
        <v>243</v>
      </c>
      <c r="J2" s="32" t="s">
        <v>261</v>
      </c>
      <c r="K2" s="32" t="s">
        <v>129</v>
      </c>
      <c r="L2" s="32">
        <v>0.33</v>
      </c>
      <c r="M2" s="32">
        <v>34.67</v>
      </c>
      <c r="N2" s="40">
        <v>2005</v>
      </c>
      <c r="O2" s="32">
        <f>VLOOKUP(Data!N133, CPI!$A$2:$B$112, 2, 0)</f>
        <v>232.95699999999999</v>
      </c>
      <c r="P2" s="32" t="s">
        <v>7</v>
      </c>
      <c r="Q2" s="32" t="s">
        <v>239</v>
      </c>
      <c r="R2" s="32" t="s">
        <v>264</v>
      </c>
      <c r="S2" s="32">
        <v>1560.43</v>
      </c>
      <c r="T2" s="32" t="s">
        <v>405</v>
      </c>
      <c r="U2" s="32">
        <f t="shared" ref="U2:U38" si="0">(1/0.7)*S2</f>
        <v>2229.1857142857143</v>
      </c>
      <c r="V2" s="32" t="s">
        <v>316</v>
      </c>
      <c r="X2" s="32">
        <v>2229.1857142857143</v>
      </c>
      <c r="Y2" s="32">
        <f>(CPI!$B$112/O2)*X2</f>
        <v>2915.4782151856352</v>
      </c>
      <c r="Z2" s="38" t="s">
        <v>262</v>
      </c>
      <c r="AA2" s="35" t="s">
        <v>1445</v>
      </c>
      <c r="AB2" s="32">
        <v>301766</v>
      </c>
      <c r="AC2" s="43" t="s">
        <v>2441</v>
      </c>
      <c r="AE2" s="32">
        <v>321945</v>
      </c>
      <c r="AF2" s="44" t="s">
        <v>2457</v>
      </c>
      <c r="AG2" s="44"/>
      <c r="AH2" s="61" t="s">
        <v>411</v>
      </c>
      <c r="AJ2" s="36" t="s">
        <v>2458</v>
      </c>
      <c r="AK2" s="40" t="s">
        <v>257</v>
      </c>
      <c r="AL2" s="32">
        <v>2009</v>
      </c>
      <c r="AM2" s="32" t="s">
        <v>258</v>
      </c>
      <c r="AN2" s="32" t="s">
        <v>260</v>
      </c>
      <c r="AP2" s="35" t="s">
        <v>259</v>
      </c>
      <c r="AQ2" s="52"/>
    </row>
    <row r="3" spans="1:43" x14ac:dyDescent="0.2">
      <c r="A3" s="40">
        <v>1</v>
      </c>
      <c r="B3" s="40">
        <v>2</v>
      </c>
      <c r="C3" s="51" t="s">
        <v>119</v>
      </c>
      <c r="D3" s="38" t="s">
        <v>128</v>
      </c>
      <c r="E3" s="32" t="s">
        <v>2184</v>
      </c>
      <c r="F3" s="32" t="s">
        <v>47</v>
      </c>
      <c r="G3" s="38" t="s">
        <v>183</v>
      </c>
      <c r="H3" s="32" t="s">
        <v>115</v>
      </c>
      <c r="I3" s="32" t="s">
        <v>243</v>
      </c>
      <c r="J3" s="32" t="s">
        <v>261</v>
      </c>
      <c r="K3" s="32" t="s">
        <v>129</v>
      </c>
      <c r="L3" s="32">
        <v>0.33</v>
      </c>
      <c r="M3" s="32">
        <v>34.67</v>
      </c>
      <c r="N3" s="40">
        <v>2005</v>
      </c>
      <c r="O3" s="32">
        <f>VLOOKUP(Data!N134, CPI!$A$2:$B$112, 2, 0)</f>
        <v>232.95699999999999</v>
      </c>
      <c r="P3" s="32" t="s">
        <v>7</v>
      </c>
      <c r="Q3" s="32" t="s">
        <v>239</v>
      </c>
      <c r="R3" s="32" t="s">
        <v>265</v>
      </c>
      <c r="S3" s="32">
        <v>246.81</v>
      </c>
      <c r="T3" s="32" t="s">
        <v>405</v>
      </c>
      <c r="U3" s="32">
        <f t="shared" si="0"/>
        <v>352.58571428571429</v>
      </c>
      <c r="V3" s="32" t="s">
        <v>316</v>
      </c>
      <c r="X3" s="32">
        <v>352.58571428571429</v>
      </c>
      <c r="Y3" s="32">
        <f>(CPI!$B$112/O3)*X3</f>
        <v>461.13518599999145</v>
      </c>
      <c r="Z3" s="38" t="s">
        <v>262</v>
      </c>
      <c r="AA3" s="35" t="s">
        <v>1445</v>
      </c>
      <c r="AB3" s="32">
        <v>301766</v>
      </c>
      <c r="AC3" s="32" t="s">
        <v>2441</v>
      </c>
      <c r="AE3" s="32">
        <v>321945</v>
      </c>
      <c r="AF3" s="44" t="s">
        <v>2457</v>
      </c>
      <c r="AG3" s="44"/>
      <c r="AH3" s="61" t="s">
        <v>411</v>
      </c>
      <c r="AJ3" s="36" t="s">
        <v>2458</v>
      </c>
      <c r="AK3" s="40" t="s">
        <v>257</v>
      </c>
      <c r="AL3" s="32">
        <v>2009</v>
      </c>
      <c r="AM3" s="32" t="s">
        <v>258</v>
      </c>
      <c r="AN3" s="32" t="s">
        <v>260</v>
      </c>
      <c r="AP3" s="35" t="s">
        <v>259</v>
      </c>
      <c r="AQ3" s="52"/>
    </row>
    <row r="4" spans="1:43" x14ac:dyDescent="0.2">
      <c r="A4" s="40">
        <v>1</v>
      </c>
      <c r="B4" s="40">
        <v>3</v>
      </c>
      <c r="C4" s="51" t="s">
        <v>119</v>
      </c>
      <c r="D4" s="38" t="s">
        <v>128</v>
      </c>
      <c r="E4" s="32" t="s">
        <v>2184</v>
      </c>
      <c r="F4" s="32" t="s">
        <v>47</v>
      </c>
      <c r="G4" s="38" t="s">
        <v>183</v>
      </c>
      <c r="H4" s="32" t="s">
        <v>115</v>
      </c>
      <c r="I4" s="32" t="s">
        <v>243</v>
      </c>
      <c r="J4" s="32" t="s">
        <v>261</v>
      </c>
      <c r="K4" s="32" t="s">
        <v>129</v>
      </c>
      <c r="L4" s="32">
        <v>0.33</v>
      </c>
      <c r="M4" s="32">
        <v>34.67</v>
      </c>
      <c r="N4" s="40">
        <v>2005</v>
      </c>
      <c r="O4" s="32">
        <f>VLOOKUP(Data!N135, CPI!$A$2:$B$112, 2, 0)</f>
        <v>195.3</v>
      </c>
      <c r="P4" s="32" t="s">
        <v>7</v>
      </c>
      <c r="Q4" s="32" t="s">
        <v>239</v>
      </c>
      <c r="R4" s="32" t="s">
        <v>266</v>
      </c>
      <c r="S4" s="32">
        <v>265.86</v>
      </c>
      <c r="T4" s="32" t="s">
        <v>405</v>
      </c>
      <c r="U4" s="32">
        <f t="shared" si="0"/>
        <v>379.8</v>
      </c>
      <c r="V4" s="32" t="s">
        <v>316</v>
      </c>
      <c r="X4" s="32">
        <v>379.8</v>
      </c>
      <c r="Y4" s="32">
        <f>(CPI!$B$112/O4)*X4</f>
        <v>592.50501612903224</v>
      </c>
      <c r="Z4" s="38" t="s">
        <v>262</v>
      </c>
      <c r="AA4" s="35" t="s">
        <v>1445</v>
      </c>
      <c r="AB4" s="32">
        <v>301766</v>
      </c>
      <c r="AC4" s="32" t="s">
        <v>2441</v>
      </c>
      <c r="AE4" s="32">
        <v>321945</v>
      </c>
      <c r="AF4" s="44" t="s">
        <v>2457</v>
      </c>
      <c r="AG4" s="44"/>
      <c r="AH4" s="61" t="s">
        <v>411</v>
      </c>
      <c r="AJ4" s="36" t="s">
        <v>2458</v>
      </c>
      <c r="AK4" s="40" t="s">
        <v>257</v>
      </c>
      <c r="AL4" s="32">
        <v>2009</v>
      </c>
      <c r="AM4" s="32" t="s">
        <v>258</v>
      </c>
      <c r="AN4" s="32" t="s">
        <v>260</v>
      </c>
      <c r="AP4" s="35" t="s">
        <v>259</v>
      </c>
      <c r="AQ4" s="52"/>
    </row>
    <row r="5" spans="1:43" x14ac:dyDescent="0.2">
      <c r="A5" s="40">
        <v>1</v>
      </c>
      <c r="B5" s="40">
        <v>4</v>
      </c>
      <c r="C5" s="51" t="s">
        <v>119</v>
      </c>
      <c r="D5" s="38" t="s">
        <v>128</v>
      </c>
      <c r="E5" s="32" t="s">
        <v>2184</v>
      </c>
      <c r="F5" s="32" t="s">
        <v>47</v>
      </c>
      <c r="G5" s="38" t="s">
        <v>183</v>
      </c>
      <c r="H5" s="32" t="s">
        <v>115</v>
      </c>
      <c r="I5" s="32" t="s">
        <v>243</v>
      </c>
      <c r="J5" s="32" t="s">
        <v>261</v>
      </c>
      <c r="K5" s="32" t="s">
        <v>129</v>
      </c>
      <c r="L5" s="32">
        <v>0.33</v>
      </c>
      <c r="M5" s="32">
        <v>34.67</v>
      </c>
      <c r="N5" s="40">
        <v>2005</v>
      </c>
      <c r="O5" s="32">
        <f>VLOOKUP(Data!N136, CPI!$A$2:$B$112, 2, 0)</f>
        <v>195.3</v>
      </c>
      <c r="P5" s="32" t="s">
        <v>7</v>
      </c>
      <c r="Q5" s="32" t="s">
        <v>239</v>
      </c>
      <c r="R5" s="32" t="s">
        <v>267</v>
      </c>
      <c r="S5" s="32">
        <v>1853.64</v>
      </c>
      <c r="T5" s="32" t="s">
        <v>405</v>
      </c>
      <c r="U5" s="32">
        <f t="shared" si="0"/>
        <v>2648.0571428571429</v>
      </c>
      <c r="V5" s="32" t="s">
        <v>316</v>
      </c>
      <c r="X5" s="32">
        <v>2648.0571428571429</v>
      </c>
      <c r="Y5" s="32">
        <f>(CPI!$B$112/O5)*X5</f>
        <v>4131.0877834101384</v>
      </c>
      <c r="Z5" s="38" t="s">
        <v>262</v>
      </c>
      <c r="AA5" s="35" t="s">
        <v>1445</v>
      </c>
      <c r="AB5" s="32">
        <v>301766</v>
      </c>
      <c r="AC5" s="32" t="s">
        <v>2441</v>
      </c>
      <c r="AE5" s="32">
        <v>321945</v>
      </c>
      <c r="AF5" s="44" t="s">
        <v>2457</v>
      </c>
      <c r="AG5" s="44"/>
      <c r="AH5" s="61" t="s">
        <v>411</v>
      </c>
      <c r="AJ5" s="36" t="s">
        <v>2458</v>
      </c>
      <c r="AK5" s="40" t="s">
        <v>257</v>
      </c>
      <c r="AL5" s="32">
        <v>2009</v>
      </c>
      <c r="AM5" s="32" t="s">
        <v>258</v>
      </c>
      <c r="AN5" s="32" t="s">
        <v>260</v>
      </c>
      <c r="AP5" s="35" t="s">
        <v>259</v>
      </c>
      <c r="AQ5" s="52"/>
    </row>
    <row r="6" spans="1:43" x14ac:dyDescent="0.2">
      <c r="A6" s="40">
        <v>1</v>
      </c>
      <c r="B6" s="40">
        <v>5</v>
      </c>
      <c r="C6" s="51" t="s">
        <v>119</v>
      </c>
      <c r="D6" s="38" t="s">
        <v>128</v>
      </c>
      <c r="E6" s="32" t="s">
        <v>2184</v>
      </c>
      <c r="F6" s="32" t="s">
        <v>47</v>
      </c>
      <c r="G6" s="38" t="s">
        <v>183</v>
      </c>
      <c r="H6" s="32" t="s">
        <v>115</v>
      </c>
      <c r="I6" s="32" t="s">
        <v>243</v>
      </c>
      <c r="J6" s="32" t="s">
        <v>261</v>
      </c>
      <c r="K6" s="32" t="s">
        <v>129</v>
      </c>
      <c r="L6" s="32">
        <v>0.33</v>
      </c>
      <c r="M6" s="32">
        <v>34.67</v>
      </c>
      <c r="N6" s="40">
        <v>2005</v>
      </c>
      <c r="O6" s="32">
        <f>VLOOKUP(Data!N137, CPI!$A$2:$B$112, 2, 0)</f>
        <v>195.3</v>
      </c>
      <c r="P6" s="32" t="s">
        <v>7</v>
      </c>
      <c r="Q6" s="32" t="s">
        <v>239</v>
      </c>
      <c r="R6" s="32" t="s">
        <v>268</v>
      </c>
      <c r="S6" s="32">
        <v>305.12</v>
      </c>
      <c r="T6" s="32" t="s">
        <v>405</v>
      </c>
      <c r="U6" s="32">
        <f t="shared" si="0"/>
        <v>435.8857142857143</v>
      </c>
      <c r="V6" s="32" t="s">
        <v>316</v>
      </c>
      <c r="X6" s="32">
        <v>435.8857142857143</v>
      </c>
      <c r="Y6" s="32">
        <f>(CPI!$B$112/O6)*X6</f>
        <v>680.00124321556575</v>
      </c>
      <c r="Z6" s="38" t="s">
        <v>262</v>
      </c>
      <c r="AA6" s="35" t="s">
        <v>1445</v>
      </c>
      <c r="AB6" s="32">
        <v>301766</v>
      </c>
      <c r="AC6" s="32" t="s">
        <v>2441</v>
      </c>
      <c r="AE6" s="32">
        <v>321945</v>
      </c>
      <c r="AF6" s="44" t="s">
        <v>2457</v>
      </c>
      <c r="AG6" s="44"/>
      <c r="AH6" s="61" t="s">
        <v>411</v>
      </c>
      <c r="AJ6" s="36" t="s">
        <v>2458</v>
      </c>
      <c r="AK6" s="40" t="s">
        <v>257</v>
      </c>
      <c r="AL6" s="32">
        <v>2009</v>
      </c>
      <c r="AM6" s="32" t="s">
        <v>258</v>
      </c>
      <c r="AN6" s="32" t="s">
        <v>260</v>
      </c>
      <c r="AP6" s="35" t="s">
        <v>259</v>
      </c>
      <c r="AQ6" s="52"/>
    </row>
    <row r="7" spans="1:43" x14ac:dyDescent="0.2">
      <c r="A7" s="40">
        <v>1</v>
      </c>
      <c r="B7" s="40">
        <v>6</v>
      </c>
      <c r="C7" s="51" t="s">
        <v>119</v>
      </c>
      <c r="D7" s="38" t="s">
        <v>128</v>
      </c>
      <c r="E7" s="32" t="s">
        <v>2184</v>
      </c>
      <c r="F7" s="32" t="s">
        <v>47</v>
      </c>
      <c r="G7" s="38" t="s">
        <v>183</v>
      </c>
      <c r="H7" s="32" t="s">
        <v>115</v>
      </c>
      <c r="I7" s="32" t="s">
        <v>243</v>
      </c>
      <c r="J7" s="32" t="s">
        <v>261</v>
      </c>
      <c r="K7" s="32" t="s">
        <v>129</v>
      </c>
      <c r="L7" s="32">
        <v>0.33</v>
      </c>
      <c r="M7" s="32">
        <v>34.67</v>
      </c>
      <c r="N7" s="40">
        <v>2005</v>
      </c>
      <c r="O7" s="32">
        <f>VLOOKUP(Data!N138, CPI!$A$2:$B$112, 2, 0)</f>
        <v>195.3</v>
      </c>
      <c r="P7" s="32" t="s">
        <v>7</v>
      </c>
      <c r="Q7" s="32" t="s">
        <v>239</v>
      </c>
      <c r="R7" s="32" t="s">
        <v>268</v>
      </c>
      <c r="S7" s="32">
        <v>305.12</v>
      </c>
      <c r="T7" s="32" t="s">
        <v>405</v>
      </c>
      <c r="U7" s="32">
        <f t="shared" si="0"/>
        <v>435.8857142857143</v>
      </c>
      <c r="V7" s="32" t="s">
        <v>316</v>
      </c>
      <c r="X7" s="32">
        <v>435.8857142857143</v>
      </c>
      <c r="Y7" s="32">
        <f>(CPI!$B$112/O7)*X7</f>
        <v>680.00124321556575</v>
      </c>
      <c r="Z7" s="38" t="s">
        <v>262</v>
      </c>
      <c r="AA7" s="35" t="s">
        <v>1445</v>
      </c>
      <c r="AB7" s="32">
        <v>301766</v>
      </c>
      <c r="AC7" s="32" t="s">
        <v>2441</v>
      </c>
      <c r="AE7" s="32">
        <v>321945</v>
      </c>
      <c r="AF7" s="44" t="s">
        <v>2457</v>
      </c>
      <c r="AG7" s="44"/>
      <c r="AH7" s="61" t="s">
        <v>411</v>
      </c>
      <c r="AJ7" s="36" t="s">
        <v>2458</v>
      </c>
      <c r="AK7" s="40" t="s">
        <v>257</v>
      </c>
      <c r="AL7" s="32">
        <v>2009</v>
      </c>
      <c r="AM7" s="32" t="s">
        <v>258</v>
      </c>
      <c r="AN7" s="32" t="s">
        <v>260</v>
      </c>
      <c r="AP7" s="35" t="s">
        <v>259</v>
      </c>
      <c r="AQ7" s="52"/>
    </row>
    <row r="8" spans="1:43" x14ac:dyDescent="0.2">
      <c r="A8" s="40">
        <v>1</v>
      </c>
      <c r="B8" s="40">
        <v>7</v>
      </c>
      <c r="C8" s="51" t="s">
        <v>119</v>
      </c>
      <c r="D8" s="38" t="s">
        <v>128</v>
      </c>
      <c r="E8" s="32" t="s">
        <v>2184</v>
      </c>
      <c r="F8" s="32" t="s">
        <v>47</v>
      </c>
      <c r="G8" s="38" t="s">
        <v>183</v>
      </c>
      <c r="H8" s="32" t="s">
        <v>115</v>
      </c>
      <c r="I8" s="32" t="s">
        <v>243</v>
      </c>
      <c r="J8" s="32" t="s">
        <v>261</v>
      </c>
      <c r="K8" s="32" t="s">
        <v>129</v>
      </c>
      <c r="L8" s="32">
        <v>0.33</v>
      </c>
      <c r="M8" s="32">
        <v>34.67</v>
      </c>
      <c r="N8" s="40">
        <v>2005</v>
      </c>
      <c r="O8" s="32">
        <f>VLOOKUP(Data!N139, CPI!$A$2:$B$112, 2, 0)</f>
        <v>195.3</v>
      </c>
      <c r="P8" s="32" t="s">
        <v>7</v>
      </c>
      <c r="Q8" s="32" t="s">
        <v>239</v>
      </c>
      <c r="R8" s="32" t="s">
        <v>269</v>
      </c>
      <c r="S8" s="32">
        <v>1495.62</v>
      </c>
      <c r="T8" s="32" t="s">
        <v>405</v>
      </c>
      <c r="U8" s="32">
        <f t="shared" si="0"/>
        <v>2136.6</v>
      </c>
      <c r="V8" s="32" t="s">
        <v>316</v>
      </c>
      <c r="X8" s="32">
        <v>2136.6</v>
      </c>
      <c r="Y8" s="32">
        <f>(CPI!$B$112/O8)*X8</f>
        <v>3333.1917258064514</v>
      </c>
      <c r="Z8" s="38" t="s">
        <v>262</v>
      </c>
      <c r="AA8" s="35" t="s">
        <v>1445</v>
      </c>
      <c r="AB8" s="32">
        <v>301766</v>
      </c>
      <c r="AC8" s="32" t="s">
        <v>2441</v>
      </c>
      <c r="AE8" s="32">
        <v>321945</v>
      </c>
      <c r="AF8" s="44" t="s">
        <v>2457</v>
      </c>
      <c r="AG8" s="44"/>
      <c r="AH8" s="61" t="s">
        <v>411</v>
      </c>
      <c r="AJ8" s="36" t="s">
        <v>2458</v>
      </c>
      <c r="AK8" s="40" t="s">
        <v>257</v>
      </c>
      <c r="AL8" s="32">
        <v>2009</v>
      </c>
      <c r="AM8" s="32" t="s">
        <v>258</v>
      </c>
      <c r="AN8" s="32" t="s">
        <v>260</v>
      </c>
      <c r="AP8" s="35" t="s">
        <v>259</v>
      </c>
      <c r="AQ8" s="52"/>
    </row>
    <row r="9" spans="1:43" x14ac:dyDescent="0.2">
      <c r="A9" s="40">
        <v>1</v>
      </c>
      <c r="B9" s="40">
        <v>8</v>
      </c>
      <c r="C9" s="51" t="s">
        <v>119</v>
      </c>
      <c r="D9" s="38" t="s">
        <v>128</v>
      </c>
      <c r="E9" s="32" t="s">
        <v>2184</v>
      </c>
      <c r="F9" s="32" t="s">
        <v>47</v>
      </c>
      <c r="G9" s="38" t="s">
        <v>183</v>
      </c>
      <c r="H9" s="32" t="s">
        <v>115</v>
      </c>
      <c r="I9" s="32" t="s">
        <v>243</v>
      </c>
      <c r="J9" s="32" t="s">
        <v>261</v>
      </c>
      <c r="K9" s="32" t="s">
        <v>129</v>
      </c>
      <c r="L9" s="32">
        <v>0.33</v>
      </c>
      <c r="M9" s="32">
        <v>34.67</v>
      </c>
      <c r="N9" s="40">
        <v>2005</v>
      </c>
      <c r="O9" s="32">
        <f>VLOOKUP(Data!N140, CPI!$A$2:$B$112, 2, 0)</f>
        <v>195.3</v>
      </c>
      <c r="P9" s="32" t="s">
        <v>7</v>
      </c>
      <c r="Q9" s="32" t="s">
        <v>239</v>
      </c>
      <c r="R9" s="32" t="s">
        <v>270</v>
      </c>
      <c r="S9" s="32">
        <v>181.99</v>
      </c>
      <c r="T9" s="32" t="s">
        <v>405</v>
      </c>
      <c r="U9" s="32">
        <f t="shared" si="0"/>
        <v>259.98571428571432</v>
      </c>
      <c r="V9" s="32" t="s">
        <v>316</v>
      </c>
      <c r="X9" s="32">
        <v>259.98571428571432</v>
      </c>
      <c r="Y9" s="32">
        <f>(CPI!$B$112/O9)*X9</f>
        <v>405.58936239119311</v>
      </c>
      <c r="Z9" s="38" t="s">
        <v>262</v>
      </c>
      <c r="AA9" s="35" t="s">
        <v>1445</v>
      </c>
      <c r="AB9" s="32">
        <v>301766</v>
      </c>
      <c r="AC9" s="32" t="s">
        <v>2441</v>
      </c>
      <c r="AE9" s="32">
        <v>321945</v>
      </c>
      <c r="AF9" s="44" t="s">
        <v>2457</v>
      </c>
      <c r="AG9" s="44"/>
      <c r="AH9" s="61" t="s">
        <v>411</v>
      </c>
      <c r="AJ9" s="36" t="s">
        <v>2458</v>
      </c>
      <c r="AK9" s="40" t="s">
        <v>257</v>
      </c>
      <c r="AL9" s="32">
        <v>2009</v>
      </c>
      <c r="AM9" s="32" t="s">
        <v>258</v>
      </c>
      <c r="AN9" s="32" t="s">
        <v>260</v>
      </c>
      <c r="AP9" s="35" t="s">
        <v>259</v>
      </c>
      <c r="AQ9" s="52"/>
    </row>
    <row r="10" spans="1:43" x14ac:dyDescent="0.2">
      <c r="A10" s="40">
        <v>1</v>
      </c>
      <c r="B10" s="40">
        <v>9</v>
      </c>
      <c r="C10" s="51" t="s">
        <v>119</v>
      </c>
      <c r="D10" s="38" t="s">
        <v>128</v>
      </c>
      <c r="E10" s="32" t="s">
        <v>2184</v>
      </c>
      <c r="F10" s="32" t="s">
        <v>47</v>
      </c>
      <c r="G10" s="38" t="s">
        <v>183</v>
      </c>
      <c r="H10" s="32" t="s">
        <v>115</v>
      </c>
      <c r="I10" s="32" t="s">
        <v>243</v>
      </c>
      <c r="J10" s="32" t="s">
        <v>261</v>
      </c>
      <c r="K10" s="32" t="s">
        <v>129</v>
      </c>
      <c r="L10" s="32">
        <v>0.33</v>
      </c>
      <c r="M10" s="32">
        <v>34.67</v>
      </c>
      <c r="N10" s="40">
        <v>2005</v>
      </c>
      <c r="O10" s="32">
        <f>VLOOKUP(Data!N141, CPI!$A$2:$B$112, 2, 0)</f>
        <v>195.3</v>
      </c>
      <c r="P10" s="32" t="s">
        <v>7</v>
      </c>
      <c r="Q10" s="32" t="s">
        <v>239</v>
      </c>
      <c r="R10" s="32" t="s">
        <v>271</v>
      </c>
      <c r="S10" s="32">
        <v>201.05</v>
      </c>
      <c r="T10" s="32" t="s">
        <v>405</v>
      </c>
      <c r="U10" s="32">
        <f t="shared" si="0"/>
        <v>287.21428571428572</v>
      </c>
      <c r="V10" s="32" t="s">
        <v>316</v>
      </c>
      <c r="X10" s="32">
        <v>287.21428571428572</v>
      </c>
      <c r="Y10" s="32">
        <f>(CPI!$B$112/O10)*X10</f>
        <v>448.06715373783919</v>
      </c>
      <c r="Z10" s="38" t="s">
        <v>262</v>
      </c>
      <c r="AA10" s="35" t="s">
        <v>1445</v>
      </c>
      <c r="AB10" s="32">
        <v>301766</v>
      </c>
      <c r="AC10" s="32" t="s">
        <v>2441</v>
      </c>
      <c r="AE10" s="32">
        <v>321945</v>
      </c>
      <c r="AF10" s="44" t="s">
        <v>2457</v>
      </c>
      <c r="AG10" s="44"/>
      <c r="AH10" s="61" t="s">
        <v>411</v>
      </c>
      <c r="AJ10" s="36" t="s">
        <v>2458</v>
      </c>
      <c r="AK10" s="40" t="s">
        <v>257</v>
      </c>
      <c r="AL10" s="32">
        <v>2009</v>
      </c>
      <c r="AM10" s="32" t="s">
        <v>258</v>
      </c>
      <c r="AN10" s="32" t="s">
        <v>260</v>
      </c>
      <c r="AP10" s="35" t="s">
        <v>259</v>
      </c>
      <c r="AQ10" s="52"/>
    </row>
    <row r="11" spans="1:43" x14ac:dyDescent="0.2">
      <c r="A11" s="40">
        <v>1</v>
      </c>
      <c r="B11" s="40">
        <v>10</v>
      </c>
      <c r="C11" s="51" t="s">
        <v>119</v>
      </c>
      <c r="D11" s="38" t="s">
        <v>128</v>
      </c>
      <c r="E11" s="32" t="s">
        <v>2184</v>
      </c>
      <c r="F11" s="32" t="s">
        <v>47</v>
      </c>
      <c r="G11" s="38" t="s">
        <v>183</v>
      </c>
      <c r="H11" s="32" t="s">
        <v>115</v>
      </c>
      <c r="I11" s="32" t="s">
        <v>243</v>
      </c>
      <c r="J11" s="32" t="s">
        <v>261</v>
      </c>
      <c r="K11" s="32" t="s">
        <v>129</v>
      </c>
      <c r="L11" s="32">
        <v>0.33</v>
      </c>
      <c r="M11" s="32">
        <v>34.67</v>
      </c>
      <c r="N11" s="40">
        <v>2005</v>
      </c>
      <c r="O11" s="32">
        <f>VLOOKUP(Data!N142, CPI!$A$2:$B$112, 2, 0)</f>
        <v>195.3</v>
      </c>
      <c r="P11" s="32" t="s">
        <v>7</v>
      </c>
      <c r="Q11" s="32" t="s">
        <v>239</v>
      </c>
      <c r="R11" s="32" t="s">
        <v>272</v>
      </c>
      <c r="S11" s="32">
        <v>1788.83</v>
      </c>
      <c r="T11" s="32" t="s">
        <v>405</v>
      </c>
      <c r="U11" s="32">
        <f t="shared" si="0"/>
        <v>2555.4714285714285</v>
      </c>
      <c r="V11" s="32" t="s">
        <v>316</v>
      </c>
      <c r="X11" s="32">
        <v>2555.4714285714285</v>
      </c>
      <c r="Y11" s="32">
        <f>(CPI!$B$112/O11)*X11</f>
        <v>3986.649921018945</v>
      </c>
      <c r="Z11" s="38" t="s">
        <v>262</v>
      </c>
      <c r="AA11" s="35" t="s">
        <v>1445</v>
      </c>
      <c r="AB11" s="32">
        <v>301766</v>
      </c>
      <c r="AC11" s="32" t="s">
        <v>2441</v>
      </c>
      <c r="AE11" s="32">
        <v>321945</v>
      </c>
      <c r="AF11" s="44" t="s">
        <v>2457</v>
      </c>
      <c r="AG11" s="44"/>
      <c r="AH11" s="61" t="s">
        <v>411</v>
      </c>
      <c r="AJ11" s="36" t="s">
        <v>2458</v>
      </c>
      <c r="AK11" s="40" t="s">
        <v>257</v>
      </c>
      <c r="AL11" s="32">
        <v>2009</v>
      </c>
      <c r="AM11" s="32" t="s">
        <v>258</v>
      </c>
      <c r="AN11" s="32" t="s">
        <v>260</v>
      </c>
      <c r="AP11" s="35" t="s">
        <v>259</v>
      </c>
      <c r="AQ11" s="52"/>
    </row>
    <row r="12" spans="1:43" x14ac:dyDescent="0.2">
      <c r="A12" s="40">
        <v>1</v>
      </c>
      <c r="B12" s="40">
        <v>11</v>
      </c>
      <c r="C12" s="51" t="s">
        <v>119</v>
      </c>
      <c r="D12" s="38" t="s">
        <v>128</v>
      </c>
      <c r="E12" s="32" t="s">
        <v>2184</v>
      </c>
      <c r="F12" s="32" t="s">
        <v>47</v>
      </c>
      <c r="G12" s="38" t="s">
        <v>183</v>
      </c>
      <c r="H12" s="32" t="s">
        <v>115</v>
      </c>
      <c r="I12" s="32" t="s">
        <v>243</v>
      </c>
      <c r="J12" s="32" t="s">
        <v>261</v>
      </c>
      <c r="K12" s="32" t="s">
        <v>129</v>
      </c>
      <c r="L12" s="32">
        <v>0.33</v>
      </c>
      <c r="M12" s="32">
        <v>34.67</v>
      </c>
      <c r="N12" s="40">
        <v>2005</v>
      </c>
      <c r="O12" s="32">
        <f>VLOOKUP(Data!N143, CPI!$A$2:$B$112, 2, 0)</f>
        <v>195.3</v>
      </c>
      <c r="P12" s="32" t="s">
        <v>7</v>
      </c>
      <c r="Q12" s="32" t="s">
        <v>239</v>
      </c>
      <c r="R12" s="32" t="s">
        <v>273</v>
      </c>
      <c r="S12" s="32">
        <v>3402.17</v>
      </c>
      <c r="T12" s="32" t="s">
        <v>405</v>
      </c>
      <c r="U12" s="32">
        <f t="shared" si="0"/>
        <v>4860.2428571428572</v>
      </c>
      <c r="V12" s="32" t="s">
        <v>316</v>
      </c>
      <c r="X12" s="32">
        <v>4860.2428571428572</v>
      </c>
      <c r="Y12" s="32">
        <f>(CPI!$B$112/O12)*X12</f>
        <v>7582.1966099590372</v>
      </c>
      <c r="Z12" s="38" t="s">
        <v>262</v>
      </c>
      <c r="AA12" s="35" t="s">
        <v>1445</v>
      </c>
      <c r="AB12" s="32">
        <v>301766</v>
      </c>
      <c r="AC12" s="32" t="s">
        <v>2441</v>
      </c>
      <c r="AE12" s="32">
        <v>321945</v>
      </c>
      <c r="AF12" s="44" t="s">
        <v>2457</v>
      </c>
      <c r="AG12" s="44"/>
      <c r="AH12" s="61" t="s">
        <v>411</v>
      </c>
      <c r="AJ12" s="36" t="s">
        <v>2458</v>
      </c>
      <c r="AK12" s="40" t="s">
        <v>257</v>
      </c>
      <c r="AL12" s="32">
        <v>2009</v>
      </c>
      <c r="AM12" s="32" t="s">
        <v>258</v>
      </c>
      <c r="AN12" s="32" t="s">
        <v>260</v>
      </c>
      <c r="AP12" s="35" t="s">
        <v>259</v>
      </c>
      <c r="AQ12" s="52"/>
    </row>
    <row r="13" spans="1:43" x14ac:dyDescent="0.2">
      <c r="A13" s="40">
        <v>1</v>
      </c>
      <c r="B13" s="40">
        <v>12</v>
      </c>
      <c r="C13" s="51" t="s">
        <v>119</v>
      </c>
      <c r="D13" s="38" t="s">
        <v>128</v>
      </c>
      <c r="E13" s="32" t="s">
        <v>2184</v>
      </c>
      <c r="F13" s="32" t="s">
        <v>47</v>
      </c>
      <c r="G13" s="38" t="s">
        <v>183</v>
      </c>
      <c r="H13" s="32" t="s">
        <v>115</v>
      </c>
      <c r="I13" s="32" t="s">
        <v>243</v>
      </c>
      <c r="J13" s="32" t="s">
        <v>261</v>
      </c>
      <c r="K13" s="32" t="s">
        <v>129</v>
      </c>
      <c r="L13" s="32">
        <v>0.33</v>
      </c>
      <c r="M13" s="32">
        <v>34.67</v>
      </c>
      <c r="N13" s="40">
        <v>2005</v>
      </c>
      <c r="O13" s="32">
        <f>VLOOKUP(Data!N144, CPI!$A$2:$B$112, 2, 0)</f>
        <v>195.3</v>
      </c>
      <c r="P13" s="32" t="s">
        <v>7</v>
      </c>
      <c r="Q13" s="32" t="s">
        <v>239</v>
      </c>
      <c r="R13" s="32" t="s">
        <v>274</v>
      </c>
      <c r="S13" s="32">
        <v>240.3</v>
      </c>
      <c r="T13" s="32" t="s">
        <v>405</v>
      </c>
      <c r="U13" s="32">
        <f t="shared" si="0"/>
        <v>343.28571428571433</v>
      </c>
      <c r="V13" s="32" t="s">
        <v>316</v>
      </c>
      <c r="X13" s="32">
        <v>343.28571428571433</v>
      </c>
      <c r="Y13" s="32">
        <f>(CPI!$B$112/O13)*X13</f>
        <v>535.54109447004612</v>
      </c>
      <c r="Z13" s="38" t="s">
        <v>262</v>
      </c>
      <c r="AA13" s="35" t="s">
        <v>1445</v>
      </c>
      <c r="AB13" s="32">
        <v>301766</v>
      </c>
      <c r="AC13" s="32" t="s">
        <v>2441</v>
      </c>
      <c r="AE13" s="32">
        <v>321945</v>
      </c>
      <c r="AF13" s="44" t="s">
        <v>2457</v>
      </c>
      <c r="AG13" s="44"/>
      <c r="AH13" s="61" t="s">
        <v>411</v>
      </c>
      <c r="AJ13" s="36" t="s">
        <v>2458</v>
      </c>
      <c r="AK13" s="40" t="s">
        <v>257</v>
      </c>
      <c r="AL13" s="32">
        <v>2009</v>
      </c>
      <c r="AM13" s="32" t="s">
        <v>258</v>
      </c>
      <c r="AN13" s="32" t="s">
        <v>260</v>
      </c>
      <c r="AP13" s="35" t="s">
        <v>259</v>
      </c>
      <c r="AQ13" s="52"/>
    </row>
    <row r="14" spans="1:43" x14ac:dyDescent="0.2">
      <c r="A14" s="40">
        <v>1</v>
      </c>
      <c r="B14" s="40">
        <v>13</v>
      </c>
      <c r="C14" s="51" t="s">
        <v>119</v>
      </c>
      <c r="D14" s="38" t="s">
        <v>128</v>
      </c>
      <c r="E14" s="32" t="s">
        <v>2184</v>
      </c>
      <c r="F14" s="32" t="s">
        <v>47</v>
      </c>
      <c r="G14" s="38" t="s">
        <v>183</v>
      </c>
      <c r="H14" s="32" t="s">
        <v>115</v>
      </c>
      <c r="I14" s="32" t="s">
        <v>243</v>
      </c>
      <c r="J14" s="32" t="s">
        <v>261</v>
      </c>
      <c r="K14" s="32" t="s">
        <v>129</v>
      </c>
      <c r="L14" s="32">
        <v>0.33</v>
      </c>
      <c r="M14" s="32">
        <v>34.67</v>
      </c>
      <c r="N14" s="40">
        <v>2005</v>
      </c>
      <c r="O14" s="32">
        <f>VLOOKUP(Data!N145, CPI!$A$2:$B$112, 2, 0)</f>
        <v>195.3</v>
      </c>
      <c r="P14" s="32" t="s">
        <v>7</v>
      </c>
      <c r="Q14" s="32" t="s">
        <v>239</v>
      </c>
      <c r="R14" s="32" t="s">
        <v>275</v>
      </c>
      <c r="S14" s="32">
        <v>1430.4</v>
      </c>
      <c r="T14" s="32" t="s">
        <v>405</v>
      </c>
      <c r="U14" s="32">
        <f t="shared" si="0"/>
        <v>2043.4285714285716</v>
      </c>
      <c r="V14" s="32" t="s">
        <v>316</v>
      </c>
      <c r="X14" s="32">
        <v>2043.4285714285716</v>
      </c>
      <c r="Y14" s="32">
        <f>(CPI!$B$112/O14)*X14</f>
        <v>3187.8401228878647</v>
      </c>
      <c r="Z14" s="38" t="s">
        <v>262</v>
      </c>
      <c r="AA14" s="35" t="s">
        <v>1445</v>
      </c>
      <c r="AB14" s="32">
        <v>301766</v>
      </c>
      <c r="AC14" s="32" t="s">
        <v>2441</v>
      </c>
      <c r="AE14" s="32">
        <v>321945</v>
      </c>
      <c r="AF14" s="44" t="s">
        <v>2457</v>
      </c>
      <c r="AG14" s="44"/>
      <c r="AH14" s="61" t="s">
        <v>411</v>
      </c>
      <c r="AJ14" s="36" t="s">
        <v>2458</v>
      </c>
      <c r="AK14" s="40" t="s">
        <v>257</v>
      </c>
      <c r="AL14" s="32">
        <v>2009</v>
      </c>
      <c r="AM14" s="32" t="s">
        <v>258</v>
      </c>
      <c r="AN14" s="32" t="s">
        <v>260</v>
      </c>
      <c r="AP14" s="35" t="s">
        <v>259</v>
      </c>
      <c r="AQ14" s="52"/>
    </row>
    <row r="15" spans="1:43" x14ac:dyDescent="0.2">
      <c r="A15" s="40">
        <v>1</v>
      </c>
      <c r="B15" s="40">
        <v>14</v>
      </c>
      <c r="C15" s="51" t="s">
        <v>119</v>
      </c>
      <c r="D15" s="38" t="s">
        <v>128</v>
      </c>
      <c r="E15" s="32" t="s">
        <v>2184</v>
      </c>
      <c r="F15" s="32" t="s">
        <v>47</v>
      </c>
      <c r="G15" s="38" t="s">
        <v>183</v>
      </c>
      <c r="H15" s="32" t="s">
        <v>115</v>
      </c>
      <c r="I15" s="32" t="s">
        <v>243</v>
      </c>
      <c r="J15" s="32" t="s">
        <v>261</v>
      </c>
      <c r="K15" s="32" t="s">
        <v>129</v>
      </c>
      <c r="L15" s="32">
        <v>0.33</v>
      </c>
      <c r="M15" s="32">
        <v>34.67</v>
      </c>
      <c r="N15" s="40">
        <v>2005</v>
      </c>
      <c r="O15" s="32">
        <f>VLOOKUP(Data!N146, CPI!$A$2:$B$112, 2, 0)</f>
        <v>195.3</v>
      </c>
      <c r="P15" s="32" t="s">
        <v>7</v>
      </c>
      <c r="Q15" s="32" t="s">
        <v>239</v>
      </c>
      <c r="R15" s="32" t="s">
        <v>276</v>
      </c>
      <c r="S15" s="32">
        <v>116.77</v>
      </c>
      <c r="T15" s="32" t="s">
        <v>405</v>
      </c>
      <c r="U15" s="32">
        <f t="shared" si="0"/>
        <v>166.81428571428572</v>
      </c>
      <c r="V15" s="32" t="s">
        <v>316</v>
      </c>
      <c r="X15" s="32">
        <v>166.81428571428572</v>
      </c>
      <c r="Y15" s="32">
        <f>(CPI!$B$112/O15)*X15</f>
        <v>260.23775947260623</v>
      </c>
      <c r="Z15" s="38" t="s">
        <v>262</v>
      </c>
      <c r="AA15" s="35" t="s">
        <v>1445</v>
      </c>
      <c r="AB15" s="32">
        <v>301766</v>
      </c>
      <c r="AC15" s="32" t="s">
        <v>2441</v>
      </c>
      <c r="AE15" s="32">
        <v>321945</v>
      </c>
      <c r="AF15" s="44" t="s">
        <v>2457</v>
      </c>
      <c r="AG15" s="44"/>
      <c r="AH15" s="61" t="s">
        <v>411</v>
      </c>
      <c r="AJ15" s="36" t="s">
        <v>2458</v>
      </c>
      <c r="AK15" s="40" t="s">
        <v>257</v>
      </c>
      <c r="AL15" s="32">
        <v>2009</v>
      </c>
      <c r="AM15" s="32" t="s">
        <v>258</v>
      </c>
      <c r="AN15" s="32" t="s">
        <v>260</v>
      </c>
      <c r="AP15" s="35" t="s">
        <v>259</v>
      </c>
      <c r="AQ15" s="52"/>
    </row>
    <row r="16" spans="1:43" x14ac:dyDescent="0.2">
      <c r="A16" s="40">
        <v>1</v>
      </c>
      <c r="B16" s="40">
        <v>15</v>
      </c>
      <c r="C16" s="51" t="s">
        <v>119</v>
      </c>
      <c r="D16" s="38" t="s">
        <v>128</v>
      </c>
      <c r="E16" s="32" t="s">
        <v>2184</v>
      </c>
      <c r="F16" s="32" t="s">
        <v>47</v>
      </c>
      <c r="G16" s="38" t="s">
        <v>183</v>
      </c>
      <c r="H16" s="32" t="s">
        <v>115</v>
      </c>
      <c r="I16" s="32" t="s">
        <v>243</v>
      </c>
      <c r="J16" s="32" t="s">
        <v>261</v>
      </c>
      <c r="K16" s="32" t="s">
        <v>129</v>
      </c>
      <c r="L16" s="32">
        <v>0.33</v>
      </c>
      <c r="M16" s="32">
        <v>34.67</v>
      </c>
      <c r="N16" s="40">
        <v>2005</v>
      </c>
      <c r="O16" s="32">
        <f>VLOOKUP(Data!N147, CPI!$A$2:$B$112, 2, 0)</f>
        <v>195.3</v>
      </c>
      <c r="P16" s="32" t="s">
        <v>7</v>
      </c>
      <c r="Q16" s="32" t="s">
        <v>239</v>
      </c>
      <c r="R16" s="32" t="s">
        <v>277</v>
      </c>
      <c r="S16" s="32">
        <v>135.32</v>
      </c>
      <c r="T16" s="32" t="s">
        <v>405</v>
      </c>
      <c r="U16" s="32">
        <f t="shared" si="0"/>
        <v>193.31428571428572</v>
      </c>
      <c r="V16" s="32" t="s">
        <v>316</v>
      </c>
      <c r="X16" s="32">
        <v>193.31428571428572</v>
      </c>
      <c r="Y16" s="32">
        <f>(CPI!$B$112/O16)*X16</f>
        <v>301.57894674859187</v>
      </c>
      <c r="Z16" s="38" t="s">
        <v>262</v>
      </c>
      <c r="AA16" s="35" t="s">
        <v>1445</v>
      </c>
      <c r="AB16" s="32">
        <v>301766</v>
      </c>
      <c r="AC16" s="32" t="s">
        <v>2441</v>
      </c>
      <c r="AE16" s="32">
        <v>321945</v>
      </c>
      <c r="AF16" s="44" t="s">
        <v>2457</v>
      </c>
      <c r="AG16" s="44"/>
      <c r="AH16" s="61" t="s">
        <v>411</v>
      </c>
      <c r="AJ16" s="36" t="s">
        <v>2458</v>
      </c>
      <c r="AK16" s="40" t="s">
        <v>257</v>
      </c>
      <c r="AL16" s="32">
        <v>2009</v>
      </c>
      <c r="AM16" s="32" t="s">
        <v>258</v>
      </c>
      <c r="AN16" s="32" t="s">
        <v>260</v>
      </c>
      <c r="AP16" s="35" t="s">
        <v>259</v>
      </c>
      <c r="AQ16" s="52"/>
    </row>
    <row r="17" spans="1:43" x14ac:dyDescent="0.2">
      <c r="A17" s="40">
        <v>1</v>
      </c>
      <c r="B17" s="40">
        <v>16</v>
      </c>
      <c r="C17" s="51" t="s">
        <v>119</v>
      </c>
      <c r="D17" s="38" t="s">
        <v>128</v>
      </c>
      <c r="E17" s="32" t="s">
        <v>2184</v>
      </c>
      <c r="F17" s="32" t="s">
        <v>47</v>
      </c>
      <c r="G17" s="38" t="s">
        <v>183</v>
      </c>
      <c r="H17" s="32" t="s">
        <v>115</v>
      </c>
      <c r="I17" s="32" t="s">
        <v>243</v>
      </c>
      <c r="J17" s="32" t="s">
        <v>261</v>
      </c>
      <c r="K17" s="32" t="s">
        <v>129</v>
      </c>
      <c r="L17" s="32">
        <v>0.33</v>
      </c>
      <c r="M17" s="32">
        <v>34.67</v>
      </c>
      <c r="N17" s="40">
        <v>2005</v>
      </c>
      <c r="O17" s="32">
        <f>VLOOKUP(Data!N148, CPI!$A$2:$B$112, 2, 0)</f>
        <v>195.3</v>
      </c>
      <c r="P17" s="32" t="s">
        <v>7</v>
      </c>
      <c r="Q17" s="32" t="s">
        <v>239</v>
      </c>
      <c r="R17" s="32" t="s">
        <v>278</v>
      </c>
      <c r="S17" s="32">
        <v>1723.61</v>
      </c>
      <c r="T17" s="32" t="s">
        <v>405</v>
      </c>
      <c r="U17" s="32">
        <f t="shared" si="0"/>
        <v>2462.2999999999997</v>
      </c>
      <c r="V17" s="32" t="s">
        <v>316</v>
      </c>
      <c r="X17" s="32">
        <v>2462.2999999999997</v>
      </c>
      <c r="Y17" s="32">
        <f>(CPI!$B$112/O17)*X17</f>
        <v>3841.2983181003578</v>
      </c>
      <c r="Z17" s="38" t="s">
        <v>262</v>
      </c>
      <c r="AA17" s="35" t="s">
        <v>1445</v>
      </c>
      <c r="AB17" s="32">
        <v>301766</v>
      </c>
      <c r="AC17" s="32" t="s">
        <v>2441</v>
      </c>
      <c r="AE17" s="32">
        <v>321945</v>
      </c>
      <c r="AF17" s="44" t="s">
        <v>2457</v>
      </c>
      <c r="AG17" s="44"/>
      <c r="AH17" s="61" t="s">
        <v>411</v>
      </c>
      <c r="AJ17" s="36" t="s">
        <v>2458</v>
      </c>
      <c r="AK17" s="40" t="s">
        <v>257</v>
      </c>
      <c r="AL17" s="32">
        <v>2009</v>
      </c>
      <c r="AM17" s="32" t="s">
        <v>258</v>
      </c>
      <c r="AN17" s="32" t="s">
        <v>260</v>
      </c>
      <c r="AP17" s="35" t="s">
        <v>259</v>
      </c>
      <c r="AQ17" s="52"/>
    </row>
    <row r="18" spans="1:43" x14ac:dyDescent="0.2">
      <c r="A18" s="40">
        <v>1</v>
      </c>
      <c r="B18" s="40">
        <v>17</v>
      </c>
      <c r="C18" s="51" t="s">
        <v>119</v>
      </c>
      <c r="D18" s="38" t="s">
        <v>128</v>
      </c>
      <c r="E18" s="32" t="s">
        <v>2184</v>
      </c>
      <c r="F18" s="32" t="s">
        <v>47</v>
      </c>
      <c r="G18" s="38" t="s">
        <v>183</v>
      </c>
      <c r="H18" s="32" t="s">
        <v>115</v>
      </c>
      <c r="I18" s="32" t="s">
        <v>243</v>
      </c>
      <c r="J18" s="32" t="s">
        <v>261</v>
      </c>
      <c r="K18" s="32" t="s">
        <v>129</v>
      </c>
      <c r="L18" s="32">
        <v>0.33</v>
      </c>
      <c r="M18" s="32">
        <v>34.67</v>
      </c>
      <c r="N18" s="40">
        <v>2005</v>
      </c>
      <c r="O18" s="32">
        <f>VLOOKUP(Data!N149, CPI!$A$2:$B$112, 2, 0)</f>
        <v>195.3</v>
      </c>
      <c r="P18" s="32" t="s">
        <v>7</v>
      </c>
      <c r="Q18" s="32" t="s">
        <v>239</v>
      </c>
      <c r="R18" s="32" t="s">
        <v>279</v>
      </c>
      <c r="S18" s="32">
        <v>175.08</v>
      </c>
      <c r="T18" s="32" t="s">
        <v>405</v>
      </c>
      <c r="U18" s="32">
        <f t="shared" si="0"/>
        <v>250.11428571428573</v>
      </c>
      <c r="V18" s="32" t="s">
        <v>316</v>
      </c>
      <c r="X18" s="32">
        <v>250.11428571428573</v>
      </c>
      <c r="Y18" s="32">
        <f>(CPI!$B$112/O18)*X18</f>
        <v>390.1894915514593</v>
      </c>
      <c r="Z18" s="38" t="s">
        <v>262</v>
      </c>
      <c r="AA18" s="35" t="s">
        <v>1445</v>
      </c>
      <c r="AB18" s="32">
        <v>301766</v>
      </c>
      <c r="AC18" s="32" t="s">
        <v>2441</v>
      </c>
      <c r="AE18" s="32">
        <v>321945</v>
      </c>
      <c r="AF18" s="44" t="s">
        <v>2457</v>
      </c>
      <c r="AG18" s="44"/>
      <c r="AH18" s="61" t="s">
        <v>411</v>
      </c>
      <c r="AJ18" s="36" t="s">
        <v>2458</v>
      </c>
      <c r="AK18" s="40" t="s">
        <v>257</v>
      </c>
      <c r="AL18" s="32">
        <v>2009</v>
      </c>
      <c r="AM18" s="32" t="s">
        <v>258</v>
      </c>
      <c r="AN18" s="32" t="s">
        <v>260</v>
      </c>
      <c r="AP18" s="35" t="s">
        <v>259</v>
      </c>
      <c r="AQ18" s="52"/>
    </row>
    <row r="19" spans="1:43" x14ac:dyDescent="0.2">
      <c r="A19" s="40">
        <v>1</v>
      </c>
      <c r="B19" s="40">
        <v>18</v>
      </c>
      <c r="C19" s="51" t="s">
        <v>119</v>
      </c>
      <c r="D19" s="38" t="s">
        <v>128</v>
      </c>
      <c r="E19" s="32" t="s">
        <v>2184</v>
      </c>
      <c r="F19" s="32" t="s">
        <v>47</v>
      </c>
      <c r="G19" s="38" t="s">
        <v>183</v>
      </c>
      <c r="H19" s="32" t="s">
        <v>115</v>
      </c>
      <c r="I19" s="32" t="s">
        <v>243</v>
      </c>
      <c r="J19" s="32" t="s">
        <v>261</v>
      </c>
      <c r="K19" s="32" t="s">
        <v>129</v>
      </c>
      <c r="L19" s="32">
        <v>0.33</v>
      </c>
      <c r="M19" s="32">
        <v>34.67</v>
      </c>
      <c r="N19" s="40">
        <v>2005</v>
      </c>
      <c r="O19" s="32">
        <f>VLOOKUP(Data!N150, CPI!$A$2:$B$112, 2, 0)</f>
        <v>195.3</v>
      </c>
      <c r="P19" s="32" t="s">
        <v>7</v>
      </c>
      <c r="Q19" s="32" t="s">
        <v>239</v>
      </c>
      <c r="R19" s="32" t="s">
        <v>280</v>
      </c>
      <c r="S19" s="32">
        <v>110.27</v>
      </c>
      <c r="T19" s="32" t="s">
        <v>405</v>
      </c>
      <c r="U19" s="32">
        <f t="shared" si="0"/>
        <v>157.52857142857144</v>
      </c>
      <c r="V19" s="32" t="s">
        <v>316</v>
      </c>
      <c r="X19" s="32">
        <v>157.52857142857144</v>
      </c>
      <c r="Y19" s="32">
        <f>(CPI!$B$112/O19)*X19</f>
        <v>245.75162916026628</v>
      </c>
      <c r="Z19" s="38" t="s">
        <v>262</v>
      </c>
      <c r="AA19" s="35" t="s">
        <v>1445</v>
      </c>
      <c r="AB19" s="32">
        <v>301766</v>
      </c>
      <c r="AC19" s="32" t="s">
        <v>2441</v>
      </c>
      <c r="AE19" s="32">
        <v>321945</v>
      </c>
      <c r="AF19" s="44" t="s">
        <v>2457</v>
      </c>
      <c r="AG19" s="44"/>
      <c r="AH19" s="61" t="s">
        <v>411</v>
      </c>
      <c r="AJ19" s="36" t="s">
        <v>2458</v>
      </c>
      <c r="AK19" s="40" t="s">
        <v>257</v>
      </c>
      <c r="AL19" s="32">
        <v>2009</v>
      </c>
      <c r="AM19" s="32" t="s">
        <v>258</v>
      </c>
      <c r="AN19" s="32" t="s">
        <v>260</v>
      </c>
      <c r="AP19" s="35" t="s">
        <v>259</v>
      </c>
      <c r="AQ19" s="52"/>
    </row>
    <row r="20" spans="1:43" x14ac:dyDescent="0.2">
      <c r="A20" s="40">
        <v>1</v>
      </c>
      <c r="B20" s="40">
        <v>19</v>
      </c>
      <c r="C20" s="51" t="s">
        <v>119</v>
      </c>
      <c r="D20" s="38" t="s">
        <v>128</v>
      </c>
      <c r="E20" s="32" t="s">
        <v>2184</v>
      </c>
      <c r="F20" s="32" t="s">
        <v>47</v>
      </c>
      <c r="G20" s="38" t="s">
        <v>183</v>
      </c>
      <c r="H20" s="32" t="s">
        <v>115</v>
      </c>
      <c r="I20" s="32" t="s">
        <v>243</v>
      </c>
      <c r="J20" s="32" t="s">
        <v>261</v>
      </c>
      <c r="K20" s="32" t="s">
        <v>129</v>
      </c>
      <c r="L20" s="32">
        <v>0.33</v>
      </c>
      <c r="M20" s="32">
        <v>34.67</v>
      </c>
      <c r="N20" s="40">
        <v>2005</v>
      </c>
      <c r="O20" s="32">
        <f>VLOOKUP(Data!N151, CPI!$A$2:$B$112, 2, 0)</f>
        <v>195.3</v>
      </c>
      <c r="P20" s="32" t="s">
        <v>7</v>
      </c>
      <c r="Q20" s="32" t="s">
        <v>239</v>
      </c>
      <c r="R20" s="32" t="s">
        <v>281</v>
      </c>
      <c r="S20" s="32">
        <v>45.05</v>
      </c>
      <c r="T20" s="32" t="s">
        <v>405</v>
      </c>
      <c r="U20" s="32">
        <f t="shared" si="0"/>
        <v>64.357142857142861</v>
      </c>
      <c r="V20" s="32" t="s">
        <v>316</v>
      </c>
      <c r="X20" s="32">
        <v>64.357142857142861</v>
      </c>
      <c r="Y20" s="32">
        <f>(CPI!$B$112/O20)*X20</f>
        <v>100.40002624167947</v>
      </c>
      <c r="Z20" s="38" t="s">
        <v>262</v>
      </c>
      <c r="AA20" s="35" t="s">
        <v>1445</v>
      </c>
      <c r="AB20" s="32">
        <v>301766</v>
      </c>
      <c r="AC20" s="32" t="s">
        <v>2441</v>
      </c>
      <c r="AE20" s="32">
        <v>321945</v>
      </c>
      <c r="AF20" s="44" t="s">
        <v>2457</v>
      </c>
      <c r="AG20" s="44"/>
      <c r="AH20" s="61" t="s">
        <v>411</v>
      </c>
      <c r="AJ20" s="36" t="s">
        <v>2458</v>
      </c>
      <c r="AK20" s="40" t="s">
        <v>257</v>
      </c>
      <c r="AL20" s="32">
        <v>2009</v>
      </c>
      <c r="AM20" s="32" t="s">
        <v>258</v>
      </c>
      <c r="AN20" s="32" t="s">
        <v>260</v>
      </c>
      <c r="AP20" s="35" t="s">
        <v>259</v>
      </c>
      <c r="AQ20" s="52"/>
    </row>
    <row r="21" spans="1:43" x14ac:dyDescent="0.2">
      <c r="A21" s="40">
        <v>1</v>
      </c>
      <c r="B21" s="40">
        <v>20</v>
      </c>
      <c r="C21" s="51" t="s">
        <v>119</v>
      </c>
      <c r="D21" s="38" t="s">
        <v>128</v>
      </c>
      <c r="E21" s="32" t="s">
        <v>2184</v>
      </c>
      <c r="F21" s="32" t="s">
        <v>47</v>
      </c>
      <c r="G21" s="38" t="s">
        <v>183</v>
      </c>
      <c r="H21" s="32" t="s">
        <v>115</v>
      </c>
      <c r="I21" s="32" t="s">
        <v>243</v>
      </c>
      <c r="J21" s="32" t="s">
        <v>261</v>
      </c>
      <c r="K21" s="32" t="s">
        <v>129</v>
      </c>
      <c r="L21" s="32">
        <v>0.33</v>
      </c>
      <c r="M21" s="32">
        <v>34.67</v>
      </c>
      <c r="N21" s="40">
        <v>2005</v>
      </c>
      <c r="O21" s="32">
        <f>VLOOKUP(Data!N152, CPI!$A$2:$B$112, 2, 0)</f>
        <v>195.3</v>
      </c>
      <c r="P21" s="32" t="s">
        <v>7</v>
      </c>
      <c r="Q21" s="32" t="s">
        <v>239</v>
      </c>
      <c r="R21" s="32" t="s">
        <v>282</v>
      </c>
      <c r="S21" s="32">
        <v>1499.89</v>
      </c>
      <c r="T21" s="32" t="s">
        <v>405</v>
      </c>
      <c r="U21" s="32">
        <f t="shared" si="0"/>
        <v>2142.7000000000003</v>
      </c>
      <c r="V21" s="32" t="s">
        <v>316</v>
      </c>
      <c r="X21" s="32">
        <v>2142.7000000000003</v>
      </c>
      <c r="Y21" s="32">
        <f>(CPI!$B$112/O21)*X21</f>
        <v>3342.7079991039432</v>
      </c>
      <c r="Z21" s="38" t="s">
        <v>262</v>
      </c>
      <c r="AA21" s="35" t="s">
        <v>1445</v>
      </c>
      <c r="AB21" s="32">
        <v>301766</v>
      </c>
      <c r="AC21" s="32" t="s">
        <v>2441</v>
      </c>
      <c r="AE21" s="32">
        <v>321945</v>
      </c>
      <c r="AF21" s="44" t="s">
        <v>2457</v>
      </c>
      <c r="AG21" s="44"/>
      <c r="AH21" s="61" t="s">
        <v>411</v>
      </c>
      <c r="AJ21" s="36" t="s">
        <v>2458</v>
      </c>
      <c r="AK21" s="40" t="s">
        <v>257</v>
      </c>
      <c r="AL21" s="32">
        <v>2009</v>
      </c>
      <c r="AM21" s="32" t="s">
        <v>258</v>
      </c>
      <c r="AN21" s="32" t="s">
        <v>260</v>
      </c>
      <c r="AP21" s="35" t="s">
        <v>259</v>
      </c>
      <c r="AQ21" s="52"/>
    </row>
    <row r="22" spans="1:43" x14ac:dyDescent="0.2">
      <c r="A22" s="40">
        <v>1</v>
      </c>
      <c r="B22" s="40">
        <v>21</v>
      </c>
      <c r="C22" s="51" t="s">
        <v>119</v>
      </c>
      <c r="D22" s="38" t="s">
        <v>128</v>
      </c>
      <c r="E22" s="32" t="s">
        <v>2184</v>
      </c>
      <c r="F22" s="32" t="s">
        <v>47</v>
      </c>
      <c r="G22" s="38" t="s">
        <v>183</v>
      </c>
      <c r="H22" s="32" t="s">
        <v>115</v>
      </c>
      <c r="I22" s="32" t="s">
        <v>243</v>
      </c>
      <c r="J22" s="32" t="s">
        <v>261</v>
      </c>
      <c r="K22" s="32" t="s">
        <v>129</v>
      </c>
      <c r="L22" s="32">
        <v>0.33</v>
      </c>
      <c r="M22" s="32">
        <v>34.67</v>
      </c>
      <c r="N22" s="40">
        <v>2005</v>
      </c>
      <c r="O22" s="32">
        <f>VLOOKUP(Data!N153, CPI!$A$2:$B$112, 2, 0)</f>
        <v>195.3</v>
      </c>
      <c r="P22" s="32" t="s">
        <v>7</v>
      </c>
      <c r="Q22" s="32" t="s">
        <v>239</v>
      </c>
      <c r="R22" s="32" t="s">
        <v>283</v>
      </c>
      <c r="S22" s="32">
        <v>186.26</v>
      </c>
      <c r="T22" s="32" t="s">
        <v>405</v>
      </c>
      <c r="U22" s="32">
        <f t="shared" si="0"/>
        <v>266.08571428571429</v>
      </c>
      <c r="V22" s="32" t="s">
        <v>316</v>
      </c>
      <c r="X22" s="32">
        <v>266.08571428571429</v>
      </c>
      <c r="Y22" s="32">
        <f>(CPI!$B$112/O22)*X22</f>
        <v>415.10563568868406</v>
      </c>
      <c r="Z22" s="38" t="s">
        <v>262</v>
      </c>
      <c r="AA22" s="35" t="s">
        <v>1445</v>
      </c>
      <c r="AB22" s="32">
        <v>301766</v>
      </c>
      <c r="AC22" s="32" t="s">
        <v>2441</v>
      </c>
      <c r="AE22" s="32">
        <v>321945</v>
      </c>
      <c r="AF22" s="44" t="s">
        <v>2457</v>
      </c>
      <c r="AG22" s="44"/>
      <c r="AH22" s="61" t="s">
        <v>411</v>
      </c>
      <c r="AJ22" s="36" t="s">
        <v>2458</v>
      </c>
      <c r="AK22" s="40" t="s">
        <v>257</v>
      </c>
      <c r="AL22" s="32">
        <v>2009</v>
      </c>
      <c r="AM22" s="32" t="s">
        <v>258</v>
      </c>
      <c r="AN22" s="32" t="s">
        <v>260</v>
      </c>
      <c r="AP22" s="35" t="s">
        <v>259</v>
      </c>
      <c r="AQ22" s="52"/>
    </row>
    <row r="23" spans="1:43" x14ac:dyDescent="0.2">
      <c r="A23" s="40">
        <v>1</v>
      </c>
      <c r="B23" s="40">
        <v>22</v>
      </c>
      <c r="C23" s="51" t="s">
        <v>119</v>
      </c>
      <c r="D23" s="38" t="s">
        <v>128</v>
      </c>
      <c r="E23" s="32" t="s">
        <v>2184</v>
      </c>
      <c r="F23" s="32" t="s">
        <v>47</v>
      </c>
      <c r="G23" s="38" t="s">
        <v>183</v>
      </c>
      <c r="H23" s="32" t="s">
        <v>115</v>
      </c>
      <c r="I23" s="32" t="s">
        <v>243</v>
      </c>
      <c r="J23" s="32" t="s">
        <v>261</v>
      </c>
      <c r="K23" s="32" t="s">
        <v>129</v>
      </c>
      <c r="L23" s="32">
        <v>0.33</v>
      </c>
      <c r="M23" s="32">
        <v>34.67</v>
      </c>
      <c r="N23" s="40">
        <v>2005</v>
      </c>
      <c r="O23" s="32">
        <f>VLOOKUP(Data!N154, CPI!$A$2:$B$112, 2, 0)</f>
        <v>195.3</v>
      </c>
      <c r="P23" s="32" t="s">
        <v>7</v>
      </c>
      <c r="Q23" s="32" t="s">
        <v>239</v>
      </c>
      <c r="R23" s="32" t="s">
        <v>284</v>
      </c>
      <c r="S23" s="32">
        <v>205.32</v>
      </c>
      <c r="T23" s="32" t="s">
        <v>405</v>
      </c>
      <c r="U23" s="32">
        <f t="shared" si="0"/>
        <v>293.31428571428569</v>
      </c>
      <c r="V23" s="32" t="s">
        <v>316</v>
      </c>
      <c r="X23" s="32">
        <v>293.31428571428569</v>
      </c>
      <c r="Y23" s="32">
        <f>(CPI!$B$112/O23)*X23</f>
        <v>457.5834270353302</v>
      </c>
      <c r="Z23" s="38" t="s">
        <v>262</v>
      </c>
      <c r="AA23" s="35" t="s">
        <v>1445</v>
      </c>
      <c r="AB23" s="32">
        <v>301766</v>
      </c>
      <c r="AC23" s="32" t="s">
        <v>2441</v>
      </c>
      <c r="AE23" s="32">
        <v>321945</v>
      </c>
      <c r="AF23" s="44" t="s">
        <v>2457</v>
      </c>
      <c r="AG23" s="44"/>
      <c r="AH23" s="61" t="s">
        <v>411</v>
      </c>
      <c r="AJ23" s="36" t="s">
        <v>2458</v>
      </c>
      <c r="AK23" s="40" t="s">
        <v>257</v>
      </c>
      <c r="AL23" s="32">
        <v>2009</v>
      </c>
      <c r="AM23" s="32" t="s">
        <v>258</v>
      </c>
      <c r="AN23" s="32" t="s">
        <v>260</v>
      </c>
      <c r="AP23" s="35" t="s">
        <v>259</v>
      </c>
      <c r="AQ23" s="52"/>
    </row>
    <row r="24" spans="1:43" x14ac:dyDescent="0.2">
      <c r="A24" s="40">
        <v>1</v>
      </c>
      <c r="B24" s="40">
        <v>23</v>
      </c>
      <c r="C24" s="51" t="s">
        <v>119</v>
      </c>
      <c r="D24" s="38" t="s">
        <v>128</v>
      </c>
      <c r="E24" s="32" t="s">
        <v>2184</v>
      </c>
      <c r="F24" s="32" t="s">
        <v>47</v>
      </c>
      <c r="G24" s="38" t="s">
        <v>183</v>
      </c>
      <c r="H24" s="32" t="s">
        <v>115</v>
      </c>
      <c r="I24" s="32" t="s">
        <v>243</v>
      </c>
      <c r="J24" s="32" t="s">
        <v>261</v>
      </c>
      <c r="K24" s="32" t="s">
        <v>129</v>
      </c>
      <c r="L24" s="32">
        <v>0.33</v>
      </c>
      <c r="M24" s="32">
        <v>34.67</v>
      </c>
      <c r="N24" s="40">
        <v>2005</v>
      </c>
      <c r="O24" s="32">
        <f>VLOOKUP(Data!N155, CPI!$A$2:$B$112, 2, 0)</f>
        <v>195.3</v>
      </c>
      <c r="P24" s="32" t="s">
        <v>7</v>
      </c>
      <c r="Q24" s="32" t="s">
        <v>239</v>
      </c>
      <c r="R24" s="32" t="s">
        <v>285</v>
      </c>
      <c r="S24" s="32">
        <v>175.49</v>
      </c>
      <c r="T24" s="32" t="s">
        <v>405</v>
      </c>
      <c r="U24" s="32">
        <f t="shared" si="0"/>
        <v>250.70000000000002</v>
      </c>
      <c r="V24" s="32" t="s">
        <v>316</v>
      </c>
      <c r="X24" s="32">
        <v>250.70000000000002</v>
      </c>
      <c r="Y24" s="32">
        <f>(CPI!$B$112/O24)*X24</f>
        <v>391.10323207885307</v>
      </c>
      <c r="Z24" s="38" t="s">
        <v>262</v>
      </c>
      <c r="AA24" s="35" t="s">
        <v>1445</v>
      </c>
      <c r="AB24" s="32">
        <v>301766</v>
      </c>
      <c r="AC24" s="32" t="s">
        <v>2441</v>
      </c>
      <c r="AE24" s="32">
        <v>321945</v>
      </c>
      <c r="AF24" s="44" t="s">
        <v>2457</v>
      </c>
      <c r="AG24" s="44"/>
      <c r="AH24" s="61" t="s">
        <v>411</v>
      </c>
      <c r="AJ24" s="36" t="s">
        <v>2458</v>
      </c>
      <c r="AK24" s="40" t="s">
        <v>257</v>
      </c>
      <c r="AL24" s="32">
        <v>2009</v>
      </c>
      <c r="AM24" s="32" t="s">
        <v>258</v>
      </c>
      <c r="AN24" s="32" t="s">
        <v>260</v>
      </c>
      <c r="AP24" s="35" t="s">
        <v>259</v>
      </c>
      <c r="AQ24" s="52"/>
    </row>
    <row r="25" spans="1:43" x14ac:dyDescent="0.2">
      <c r="A25" s="40">
        <v>1</v>
      </c>
      <c r="B25" s="40">
        <v>24</v>
      </c>
      <c r="C25" s="51" t="s">
        <v>119</v>
      </c>
      <c r="D25" s="38" t="s">
        <v>128</v>
      </c>
      <c r="E25" s="32" t="s">
        <v>2184</v>
      </c>
      <c r="F25" s="32" t="s">
        <v>47</v>
      </c>
      <c r="G25" s="38" t="s">
        <v>183</v>
      </c>
      <c r="H25" s="32" t="s">
        <v>115</v>
      </c>
      <c r="I25" s="32" t="s">
        <v>243</v>
      </c>
      <c r="J25" s="32" t="s">
        <v>261</v>
      </c>
      <c r="K25" s="32" t="s">
        <v>129</v>
      </c>
      <c r="L25" s="32">
        <v>0.33</v>
      </c>
      <c r="M25" s="32">
        <v>34.67</v>
      </c>
      <c r="N25" s="40">
        <v>2005</v>
      </c>
      <c r="O25" s="32">
        <f>VLOOKUP(Data!N156, CPI!$A$2:$B$112, 2, 0)</f>
        <v>195.3</v>
      </c>
      <c r="P25" s="32" t="s">
        <v>7</v>
      </c>
      <c r="Q25" s="32" t="s">
        <v>239</v>
      </c>
      <c r="R25" s="32" t="s">
        <v>286</v>
      </c>
      <c r="S25" s="32">
        <v>1814.39</v>
      </c>
      <c r="T25" s="32" t="s">
        <v>405</v>
      </c>
      <c r="U25" s="32">
        <f t="shared" si="0"/>
        <v>2591.9857142857145</v>
      </c>
      <c r="V25" s="32" t="s">
        <v>316</v>
      </c>
      <c r="X25" s="32">
        <v>2591.9857142857145</v>
      </c>
      <c r="Y25" s="32">
        <f>(CPI!$B$112/O25)*X25</f>
        <v>4043.6138426779316</v>
      </c>
      <c r="Z25" s="38" t="s">
        <v>262</v>
      </c>
      <c r="AA25" s="35" t="s">
        <v>1445</v>
      </c>
      <c r="AB25" s="32">
        <v>301766</v>
      </c>
      <c r="AC25" s="32" t="s">
        <v>2441</v>
      </c>
      <c r="AE25" s="32">
        <v>321945</v>
      </c>
      <c r="AF25" s="44" t="s">
        <v>2457</v>
      </c>
      <c r="AG25" s="44"/>
      <c r="AH25" s="61" t="s">
        <v>411</v>
      </c>
      <c r="AJ25" s="36" t="s">
        <v>2458</v>
      </c>
      <c r="AK25" s="40" t="s">
        <v>257</v>
      </c>
      <c r="AL25" s="32">
        <v>2009</v>
      </c>
      <c r="AM25" s="32" t="s">
        <v>258</v>
      </c>
      <c r="AN25" s="32" t="s">
        <v>260</v>
      </c>
      <c r="AP25" s="35" t="s">
        <v>259</v>
      </c>
      <c r="AQ25" s="52"/>
    </row>
    <row r="26" spans="1:43" x14ac:dyDescent="0.2">
      <c r="A26" s="40">
        <v>1</v>
      </c>
      <c r="B26" s="40">
        <v>25</v>
      </c>
      <c r="C26" s="51" t="s">
        <v>119</v>
      </c>
      <c r="D26" s="38" t="s">
        <v>128</v>
      </c>
      <c r="E26" s="32" t="s">
        <v>2184</v>
      </c>
      <c r="F26" s="32" t="s">
        <v>47</v>
      </c>
      <c r="G26" s="38" t="s">
        <v>183</v>
      </c>
      <c r="H26" s="32" t="s">
        <v>115</v>
      </c>
      <c r="I26" s="32" t="s">
        <v>243</v>
      </c>
      <c r="J26" s="32" t="s">
        <v>261</v>
      </c>
      <c r="K26" s="32" t="s">
        <v>129</v>
      </c>
      <c r="L26" s="32">
        <v>0.33</v>
      </c>
      <c r="M26" s="32">
        <v>34.67</v>
      </c>
      <c r="N26" s="40">
        <v>2005</v>
      </c>
      <c r="O26" s="32">
        <f>VLOOKUP(Data!N157, CPI!$A$2:$B$112, 2, 0)</f>
        <v>195.3</v>
      </c>
      <c r="P26" s="32" t="s">
        <v>7</v>
      </c>
      <c r="Q26" s="32" t="s">
        <v>239</v>
      </c>
      <c r="R26" s="32" t="s">
        <v>287</v>
      </c>
      <c r="S26" s="32">
        <v>1795.33</v>
      </c>
      <c r="T26" s="32" t="s">
        <v>405</v>
      </c>
      <c r="U26" s="32">
        <f t="shared" si="0"/>
        <v>2564.7571428571428</v>
      </c>
      <c r="V26" s="32" t="s">
        <v>316</v>
      </c>
      <c r="X26" s="32">
        <v>2564.7571428571428</v>
      </c>
      <c r="Y26" s="32">
        <f>(CPI!$B$112/O26)*X26</f>
        <v>4001.1360513312848</v>
      </c>
      <c r="Z26" s="38" t="s">
        <v>262</v>
      </c>
      <c r="AA26" s="35" t="s">
        <v>1445</v>
      </c>
      <c r="AB26" s="32">
        <v>301766</v>
      </c>
      <c r="AC26" s="32" t="s">
        <v>2441</v>
      </c>
      <c r="AE26" s="32">
        <v>321945</v>
      </c>
      <c r="AF26" s="44" t="s">
        <v>2457</v>
      </c>
      <c r="AG26" s="44"/>
      <c r="AH26" s="61" t="s">
        <v>411</v>
      </c>
      <c r="AJ26" s="36" t="s">
        <v>2458</v>
      </c>
      <c r="AK26" s="40" t="s">
        <v>257</v>
      </c>
      <c r="AL26" s="32">
        <v>2009</v>
      </c>
      <c r="AM26" s="32" t="s">
        <v>258</v>
      </c>
      <c r="AN26" s="32" t="s">
        <v>260</v>
      </c>
      <c r="AP26" s="35" t="s">
        <v>259</v>
      </c>
      <c r="AQ26" s="52"/>
    </row>
    <row r="27" spans="1:43" x14ac:dyDescent="0.2">
      <c r="A27" s="40">
        <v>1</v>
      </c>
      <c r="B27" s="40">
        <v>26</v>
      </c>
      <c r="C27" s="51" t="s">
        <v>119</v>
      </c>
      <c r="D27" s="38" t="s">
        <v>128</v>
      </c>
      <c r="E27" s="32" t="s">
        <v>2184</v>
      </c>
      <c r="F27" s="32" t="s">
        <v>47</v>
      </c>
      <c r="G27" s="38" t="s">
        <v>183</v>
      </c>
      <c r="H27" s="32" t="s">
        <v>115</v>
      </c>
      <c r="I27" s="32" t="s">
        <v>243</v>
      </c>
      <c r="J27" s="32" t="s">
        <v>261</v>
      </c>
      <c r="K27" s="32" t="s">
        <v>129</v>
      </c>
      <c r="L27" s="32">
        <v>0.33</v>
      </c>
      <c r="M27" s="32">
        <v>34.67</v>
      </c>
      <c r="N27" s="40">
        <v>2005</v>
      </c>
      <c r="O27" s="32">
        <f>VLOOKUP(Data!N158, CPI!$A$2:$B$112, 2, 0)</f>
        <v>195.3</v>
      </c>
      <c r="P27" s="32" t="s">
        <v>7</v>
      </c>
      <c r="Q27" s="32" t="s">
        <v>239</v>
      </c>
      <c r="R27" s="32" t="s">
        <v>288</v>
      </c>
      <c r="S27" s="32">
        <v>3108.95</v>
      </c>
      <c r="T27" s="32" t="s">
        <v>405</v>
      </c>
      <c r="U27" s="32">
        <f t="shared" si="0"/>
        <v>4441.3571428571431</v>
      </c>
      <c r="V27" s="32" t="s">
        <v>316</v>
      </c>
      <c r="X27" s="32">
        <v>4441.3571428571431</v>
      </c>
      <c r="Y27" s="32">
        <f>(CPI!$B$112/O27)*X27</f>
        <v>6928.7161283922169</v>
      </c>
      <c r="Z27" s="38" t="s">
        <v>262</v>
      </c>
      <c r="AA27" s="35" t="s">
        <v>1445</v>
      </c>
      <c r="AB27" s="32">
        <v>301766</v>
      </c>
      <c r="AC27" s="32" t="s">
        <v>2441</v>
      </c>
      <c r="AE27" s="32">
        <v>321945</v>
      </c>
      <c r="AF27" s="44" t="s">
        <v>2457</v>
      </c>
      <c r="AG27" s="44"/>
      <c r="AH27" s="61" t="s">
        <v>411</v>
      </c>
      <c r="AJ27" s="36" t="s">
        <v>2458</v>
      </c>
      <c r="AK27" s="40" t="s">
        <v>257</v>
      </c>
      <c r="AL27" s="32">
        <v>2009</v>
      </c>
      <c r="AM27" s="32" t="s">
        <v>258</v>
      </c>
      <c r="AN27" s="32" t="s">
        <v>260</v>
      </c>
      <c r="AP27" s="35" t="s">
        <v>259</v>
      </c>
      <c r="AQ27" s="52"/>
    </row>
    <row r="28" spans="1:43" x14ac:dyDescent="0.2">
      <c r="A28" s="40">
        <v>1</v>
      </c>
      <c r="B28" s="40">
        <v>27</v>
      </c>
      <c r="C28" s="51" t="s">
        <v>119</v>
      </c>
      <c r="D28" s="38" t="s">
        <v>128</v>
      </c>
      <c r="E28" s="32" t="s">
        <v>2184</v>
      </c>
      <c r="F28" s="32" t="s">
        <v>47</v>
      </c>
      <c r="G28" s="38" t="s">
        <v>183</v>
      </c>
      <c r="H28" s="32" t="s">
        <v>115</v>
      </c>
      <c r="I28" s="32" t="s">
        <v>243</v>
      </c>
      <c r="J28" s="32" t="s">
        <v>261</v>
      </c>
      <c r="K28" s="32" t="s">
        <v>129</v>
      </c>
      <c r="L28" s="32">
        <v>0.33</v>
      </c>
      <c r="M28" s="32">
        <v>34.67</v>
      </c>
      <c r="N28" s="40">
        <v>2005</v>
      </c>
      <c r="O28" s="32">
        <f>VLOOKUP(Data!N159, CPI!$A$2:$B$112, 2, 0)</f>
        <v>195.3</v>
      </c>
      <c r="P28" s="32" t="s">
        <v>7</v>
      </c>
      <c r="Q28" s="32" t="s">
        <v>239</v>
      </c>
      <c r="R28" s="32" t="s">
        <v>289</v>
      </c>
      <c r="S28" s="32">
        <v>2815.74</v>
      </c>
      <c r="T28" s="32" t="s">
        <v>405</v>
      </c>
      <c r="U28" s="32">
        <f t="shared" si="0"/>
        <v>4022.485714285714</v>
      </c>
      <c r="V28" s="32" t="s">
        <v>316</v>
      </c>
      <c r="X28" s="32">
        <v>4022.485714285714</v>
      </c>
      <c r="Y28" s="32">
        <f>(CPI!$B$112/O28)*X28</f>
        <v>6275.2579331797233</v>
      </c>
      <c r="Z28" s="38" t="s">
        <v>262</v>
      </c>
      <c r="AA28" s="35" t="s">
        <v>1445</v>
      </c>
      <c r="AB28" s="32">
        <v>301766</v>
      </c>
      <c r="AC28" s="32" t="s">
        <v>2441</v>
      </c>
      <c r="AE28" s="32">
        <v>321945</v>
      </c>
      <c r="AF28" s="44" t="s">
        <v>2457</v>
      </c>
      <c r="AG28" s="44"/>
      <c r="AH28" s="61" t="s">
        <v>411</v>
      </c>
      <c r="AJ28" s="36" t="s">
        <v>2458</v>
      </c>
      <c r="AK28" s="40" t="s">
        <v>257</v>
      </c>
      <c r="AL28" s="32">
        <v>2009</v>
      </c>
      <c r="AM28" s="32" t="s">
        <v>258</v>
      </c>
      <c r="AN28" s="32" t="s">
        <v>260</v>
      </c>
      <c r="AP28" s="35" t="s">
        <v>259</v>
      </c>
      <c r="AQ28" s="52"/>
    </row>
    <row r="29" spans="1:43" x14ac:dyDescent="0.2">
      <c r="A29" s="40">
        <v>1</v>
      </c>
      <c r="B29" s="40">
        <v>28</v>
      </c>
      <c r="C29" s="51" t="s">
        <v>119</v>
      </c>
      <c r="D29" s="38" t="s">
        <v>128</v>
      </c>
      <c r="E29" s="32" t="s">
        <v>2184</v>
      </c>
      <c r="F29" s="32" t="s">
        <v>47</v>
      </c>
      <c r="G29" s="38" t="s">
        <v>183</v>
      </c>
      <c r="H29" s="32" t="s">
        <v>115</v>
      </c>
      <c r="I29" s="32" t="s">
        <v>243</v>
      </c>
      <c r="J29" s="32" t="s">
        <v>261</v>
      </c>
      <c r="K29" s="32" t="s">
        <v>129</v>
      </c>
      <c r="L29" s="32">
        <v>0.33</v>
      </c>
      <c r="M29" s="32">
        <v>34.67</v>
      </c>
      <c r="N29" s="40">
        <v>2005</v>
      </c>
      <c r="O29" s="32">
        <f>VLOOKUP(Data!N160, CPI!$A$2:$B$112, 2, 0)</f>
        <v>195.3</v>
      </c>
      <c r="P29" s="32" t="s">
        <v>7</v>
      </c>
      <c r="Q29" s="32" t="s">
        <v>239</v>
      </c>
      <c r="R29" s="32" t="s">
        <v>290</v>
      </c>
      <c r="S29" s="32">
        <v>1502.12</v>
      </c>
      <c r="T29" s="32" t="s">
        <v>405</v>
      </c>
      <c r="U29" s="32">
        <f t="shared" si="0"/>
        <v>2145.8857142857141</v>
      </c>
      <c r="V29" s="32" t="s">
        <v>316</v>
      </c>
      <c r="X29" s="32">
        <v>2145.8857142857141</v>
      </c>
      <c r="Y29" s="32">
        <f>(CPI!$B$112/O29)*X29</f>
        <v>3347.6778561187912</v>
      </c>
      <c r="Z29" s="38" t="s">
        <v>262</v>
      </c>
      <c r="AA29" s="35" t="s">
        <v>1445</v>
      </c>
      <c r="AB29" s="32">
        <v>301766</v>
      </c>
      <c r="AC29" s="32" t="s">
        <v>2441</v>
      </c>
      <c r="AE29" s="32">
        <v>321945</v>
      </c>
      <c r="AF29" s="44" t="s">
        <v>2457</v>
      </c>
      <c r="AG29" s="44"/>
      <c r="AH29" s="61" t="s">
        <v>411</v>
      </c>
      <c r="AJ29" s="36" t="s">
        <v>2458</v>
      </c>
      <c r="AK29" s="40" t="s">
        <v>257</v>
      </c>
      <c r="AL29" s="32">
        <v>2009</v>
      </c>
      <c r="AM29" s="32" t="s">
        <v>258</v>
      </c>
      <c r="AN29" s="32" t="s">
        <v>260</v>
      </c>
      <c r="AP29" s="35" t="s">
        <v>259</v>
      </c>
      <c r="AQ29" s="52"/>
    </row>
    <row r="30" spans="1:43" x14ac:dyDescent="0.2">
      <c r="A30" s="40">
        <v>1</v>
      </c>
      <c r="B30" s="40">
        <v>29</v>
      </c>
      <c r="C30" s="51" t="s">
        <v>119</v>
      </c>
      <c r="D30" s="38" t="s">
        <v>128</v>
      </c>
      <c r="E30" s="32" t="s">
        <v>2184</v>
      </c>
      <c r="F30" s="32" t="s">
        <v>47</v>
      </c>
      <c r="G30" s="38" t="s">
        <v>183</v>
      </c>
      <c r="H30" s="32" t="s">
        <v>115</v>
      </c>
      <c r="I30" s="32" t="s">
        <v>243</v>
      </c>
      <c r="J30" s="32" t="s">
        <v>261</v>
      </c>
      <c r="K30" s="32" t="s">
        <v>129</v>
      </c>
      <c r="L30" s="32">
        <v>0.33</v>
      </c>
      <c r="M30" s="32">
        <v>34.67</v>
      </c>
      <c r="N30" s="40">
        <v>2005</v>
      </c>
      <c r="O30" s="32">
        <f>VLOOKUP(Data!N161, CPI!$A$2:$B$112, 2, 0)</f>
        <v>195.3</v>
      </c>
      <c r="P30" s="32" t="s">
        <v>7</v>
      </c>
      <c r="Q30" s="32" t="s">
        <v>239</v>
      </c>
      <c r="R30" s="32" t="s">
        <v>291</v>
      </c>
      <c r="S30" s="32">
        <v>188.5</v>
      </c>
      <c r="T30" s="32" t="s">
        <v>405</v>
      </c>
      <c r="U30" s="32">
        <f t="shared" si="0"/>
        <v>269.28571428571428</v>
      </c>
      <c r="V30" s="32" t="s">
        <v>316</v>
      </c>
      <c r="X30" s="32">
        <v>269.28571428571428</v>
      </c>
      <c r="Y30" s="32">
        <f>(CPI!$B$112/O30)*X30</f>
        <v>420.09777905785967</v>
      </c>
      <c r="Z30" s="38" t="s">
        <v>262</v>
      </c>
      <c r="AA30" s="35" t="s">
        <v>1445</v>
      </c>
      <c r="AB30" s="32">
        <v>301766</v>
      </c>
      <c r="AC30" s="32" t="s">
        <v>2441</v>
      </c>
      <c r="AE30" s="32">
        <v>321945</v>
      </c>
      <c r="AF30" s="44" t="s">
        <v>2457</v>
      </c>
      <c r="AG30" s="44"/>
      <c r="AH30" s="61" t="s">
        <v>411</v>
      </c>
      <c r="AJ30" s="36" t="s">
        <v>2458</v>
      </c>
      <c r="AK30" s="40" t="s">
        <v>257</v>
      </c>
      <c r="AL30" s="32">
        <v>2009</v>
      </c>
      <c r="AM30" s="32" t="s">
        <v>258</v>
      </c>
      <c r="AN30" s="32" t="s">
        <v>260</v>
      </c>
      <c r="AP30" s="35" t="s">
        <v>259</v>
      </c>
      <c r="AQ30" s="52"/>
    </row>
    <row r="31" spans="1:43" x14ac:dyDescent="0.2">
      <c r="A31" s="40">
        <v>1</v>
      </c>
      <c r="B31" s="40">
        <v>30</v>
      </c>
      <c r="C31" s="51" t="s">
        <v>119</v>
      </c>
      <c r="D31" s="38" t="s">
        <v>128</v>
      </c>
      <c r="E31" s="32" t="s">
        <v>2184</v>
      </c>
      <c r="F31" s="32" t="s">
        <v>47</v>
      </c>
      <c r="G31" s="38" t="s">
        <v>183</v>
      </c>
      <c r="H31" s="32" t="s">
        <v>115</v>
      </c>
      <c r="I31" s="32" t="s">
        <v>243</v>
      </c>
      <c r="J31" s="32" t="s">
        <v>261</v>
      </c>
      <c r="K31" s="32" t="s">
        <v>129</v>
      </c>
      <c r="L31" s="32">
        <v>0.33</v>
      </c>
      <c r="M31" s="32">
        <v>34.67</v>
      </c>
      <c r="N31" s="40">
        <v>2005</v>
      </c>
      <c r="O31" s="32">
        <f>VLOOKUP(Data!N162, CPI!$A$2:$B$112, 2, 0)</f>
        <v>195.3</v>
      </c>
      <c r="P31" s="32" t="s">
        <v>7</v>
      </c>
      <c r="Q31" s="32" t="s">
        <v>239</v>
      </c>
      <c r="R31" s="32" t="s">
        <v>292</v>
      </c>
      <c r="S31" s="32">
        <v>1521.17</v>
      </c>
      <c r="T31" s="32" t="s">
        <v>405</v>
      </c>
      <c r="U31" s="32">
        <f t="shared" si="0"/>
        <v>2173.1000000000004</v>
      </c>
      <c r="V31" s="32" t="s">
        <v>316</v>
      </c>
      <c r="X31" s="32">
        <v>2173.1000000000004</v>
      </c>
      <c r="Y31" s="32">
        <f>(CPI!$B$112/O31)*X31</f>
        <v>3390.1333611111118</v>
      </c>
      <c r="Z31" s="38" t="s">
        <v>262</v>
      </c>
      <c r="AA31" s="35" t="s">
        <v>1445</v>
      </c>
      <c r="AB31" s="32">
        <v>301766</v>
      </c>
      <c r="AC31" s="32" t="s">
        <v>2441</v>
      </c>
      <c r="AE31" s="32">
        <v>321945</v>
      </c>
      <c r="AF31" s="44" t="s">
        <v>2457</v>
      </c>
      <c r="AG31" s="44"/>
      <c r="AH31" s="61" t="s">
        <v>411</v>
      </c>
      <c r="AJ31" s="36" t="s">
        <v>2458</v>
      </c>
      <c r="AK31" s="40" t="s">
        <v>257</v>
      </c>
      <c r="AL31" s="32">
        <v>2009</v>
      </c>
      <c r="AM31" s="32" t="s">
        <v>258</v>
      </c>
      <c r="AN31" s="32" t="s">
        <v>260</v>
      </c>
      <c r="AP31" s="35" t="s">
        <v>259</v>
      </c>
      <c r="AQ31" s="52"/>
    </row>
    <row r="32" spans="1:43" x14ac:dyDescent="0.2">
      <c r="A32" s="40">
        <v>1</v>
      </c>
      <c r="B32" s="40">
        <v>31</v>
      </c>
      <c r="C32" s="51" t="s">
        <v>119</v>
      </c>
      <c r="D32" s="38" t="s">
        <v>128</v>
      </c>
      <c r="E32" s="32" t="s">
        <v>2184</v>
      </c>
      <c r="F32" s="32" t="s">
        <v>47</v>
      </c>
      <c r="G32" s="38" t="s">
        <v>183</v>
      </c>
      <c r="H32" s="32" t="s">
        <v>115</v>
      </c>
      <c r="I32" s="32" t="s">
        <v>243</v>
      </c>
      <c r="J32" s="32" t="s">
        <v>261</v>
      </c>
      <c r="K32" s="32" t="s">
        <v>129</v>
      </c>
      <c r="L32" s="32">
        <v>0.33</v>
      </c>
      <c r="M32" s="32">
        <v>34.67</v>
      </c>
      <c r="N32" s="40">
        <v>2005</v>
      </c>
      <c r="O32" s="32">
        <f>VLOOKUP(Data!N163, CPI!$A$2:$B$112, 2, 0)</f>
        <v>195.3</v>
      </c>
      <c r="P32" s="32" t="s">
        <v>7</v>
      </c>
      <c r="Q32" s="32" t="s">
        <v>239</v>
      </c>
      <c r="R32" s="32" t="s">
        <v>293</v>
      </c>
      <c r="S32" s="32">
        <v>207.55</v>
      </c>
      <c r="T32" s="32" t="s">
        <v>405</v>
      </c>
      <c r="U32" s="32">
        <f t="shared" si="0"/>
        <v>296.5</v>
      </c>
      <c r="V32" s="32" t="s">
        <v>316</v>
      </c>
      <c r="X32" s="32">
        <v>296.5</v>
      </c>
      <c r="Y32" s="32">
        <f>(CPI!$B$112/O32)*X32</f>
        <v>462.55328405017917</v>
      </c>
      <c r="Z32" s="38" t="s">
        <v>262</v>
      </c>
      <c r="AA32" s="35" t="s">
        <v>1445</v>
      </c>
      <c r="AB32" s="32">
        <v>301766</v>
      </c>
      <c r="AC32" s="32" t="s">
        <v>2441</v>
      </c>
      <c r="AE32" s="32">
        <v>321945</v>
      </c>
      <c r="AF32" s="44" t="s">
        <v>2457</v>
      </c>
      <c r="AG32" s="44"/>
      <c r="AH32" s="61" t="s">
        <v>411</v>
      </c>
      <c r="AJ32" s="36" t="s">
        <v>2458</v>
      </c>
      <c r="AK32" s="40" t="s">
        <v>257</v>
      </c>
      <c r="AL32" s="32">
        <v>2009</v>
      </c>
      <c r="AM32" s="32" t="s">
        <v>258</v>
      </c>
      <c r="AN32" s="32" t="s">
        <v>260</v>
      </c>
      <c r="AP32" s="35" t="s">
        <v>259</v>
      </c>
      <c r="AQ32" s="52"/>
    </row>
    <row r="33" spans="1:43" x14ac:dyDescent="0.2">
      <c r="A33" s="40">
        <v>1</v>
      </c>
      <c r="B33" s="40">
        <v>32</v>
      </c>
      <c r="C33" s="51" t="s">
        <v>119</v>
      </c>
      <c r="D33" s="38" t="s">
        <v>128</v>
      </c>
      <c r="E33" s="32" t="s">
        <v>2184</v>
      </c>
      <c r="F33" s="32" t="s">
        <v>47</v>
      </c>
      <c r="G33" s="38" t="s">
        <v>183</v>
      </c>
      <c r="H33" s="32" t="s">
        <v>115</v>
      </c>
      <c r="I33" s="32" t="s">
        <v>243</v>
      </c>
      <c r="J33" s="32" t="s">
        <v>261</v>
      </c>
      <c r="K33" s="32" t="s">
        <v>129</v>
      </c>
      <c r="L33" s="32">
        <v>0.33</v>
      </c>
      <c r="M33" s="32">
        <v>34.67</v>
      </c>
      <c r="N33" s="40">
        <v>2005</v>
      </c>
      <c r="O33" s="32">
        <f>VLOOKUP(Data!N164, CPI!$A$2:$B$112, 2, 0)</f>
        <v>195.3</v>
      </c>
      <c r="P33" s="32" t="s">
        <v>7</v>
      </c>
      <c r="Q33" s="32" t="s">
        <v>239</v>
      </c>
      <c r="R33" s="32" t="s">
        <v>294</v>
      </c>
      <c r="S33" s="32">
        <v>226.6</v>
      </c>
      <c r="T33" s="32" t="s">
        <v>405</v>
      </c>
      <c r="U33" s="32">
        <f t="shared" si="0"/>
        <v>323.71428571428572</v>
      </c>
      <c r="V33" s="32" t="s">
        <v>316</v>
      </c>
      <c r="X33" s="32">
        <v>323.71428571428572</v>
      </c>
      <c r="Y33" s="32">
        <f>(CPI!$B$112/O33)*X33</f>
        <v>505.00878904249873</v>
      </c>
      <c r="Z33" s="38" t="s">
        <v>262</v>
      </c>
      <c r="AA33" s="35" t="s">
        <v>1445</v>
      </c>
      <c r="AB33" s="32">
        <v>301766</v>
      </c>
      <c r="AC33" s="32" t="s">
        <v>2441</v>
      </c>
      <c r="AE33" s="32">
        <v>321945</v>
      </c>
      <c r="AF33" s="44" t="s">
        <v>2457</v>
      </c>
      <c r="AG33" s="44"/>
      <c r="AH33" s="61" t="s">
        <v>411</v>
      </c>
      <c r="AJ33" s="36" t="s">
        <v>2458</v>
      </c>
      <c r="AK33" s="40" t="s">
        <v>257</v>
      </c>
      <c r="AL33" s="32">
        <v>2009</v>
      </c>
      <c r="AM33" s="32" t="s">
        <v>258</v>
      </c>
      <c r="AN33" s="32" t="s">
        <v>260</v>
      </c>
      <c r="AP33" s="35" t="s">
        <v>259</v>
      </c>
      <c r="AQ33" s="52"/>
    </row>
    <row r="34" spans="1:43" x14ac:dyDescent="0.2">
      <c r="A34" s="40">
        <v>1</v>
      </c>
      <c r="B34" s="40">
        <v>33</v>
      </c>
      <c r="C34" s="51" t="s">
        <v>119</v>
      </c>
      <c r="D34" s="38" t="s">
        <v>128</v>
      </c>
      <c r="E34" s="32" t="s">
        <v>2184</v>
      </c>
      <c r="F34" s="32" t="s">
        <v>47</v>
      </c>
      <c r="G34" s="38" t="s">
        <v>183</v>
      </c>
      <c r="H34" s="32" t="s">
        <v>115</v>
      </c>
      <c r="I34" s="32" t="s">
        <v>243</v>
      </c>
      <c r="J34" s="32" t="s">
        <v>261</v>
      </c>
      <c r="K34" s="32" t="s">
        <v>129</v>
      </c>
      <c r="L34" s="32">
        <v>0.33</v>
      </c>
      <c r="M34" s="32">
        <v>34.67</v>
      </c>
      <c r="N34" s="40">
        <v>2005</v>
      </c>
      <c r="O34" s="32">
        <f>VLOOKUP(Data!N165, CPI!$A$2:$B$112, 2, 0)</f>
        <v>195.3</v>
      </c>
      <c r="P34" s="32" t="s">
        <v>7</v>
      </c>
      <c r="Q34" s="32" t="s">
        <v>239</v>
      </c>
      <c r="R34" s="32" t="s">
        <v>295</v>
      </c>
      <c r="S34" s="32">
        <v>1793.1</v>
      </c>
      <c r="T34" s="32" t="s">
        <v>405</v>
      </c>
      <c r="U34" s="32">
        <f t="shared" si="0"/>
        <v>2561.5714285714284</v>
      </c>
      <c r="V34" s="32" t="s">
        <v>316</v>
      </c>
      <c r="X34" s="32">
        <v>2561.5714285714284</v>
      </c>
      <c r="Y34" s="32">
        <f>(CPI!$B$112/O34)*X34</f>
        <v>3996.1661943164358</v>
      </c>
      <c r="Z34" s="38" t="s">
        <v>262</v>
      </c>
      <c r="AA34" s="35" t="s">
        <v>1445</v>
      </c>
      <c r="AB34" s="32">
        <v>301766</v>
      </c>
      <c r="AC34" s="32" t="s">
        <v>2441</v>
      </c>
      <c r="AE34" s="32">
        <v>321945</v>
      </c>
      <c r="AF34" s="44" t="s">
        <v>2457</v>
      </c>
      <c r="AG34" s="44"/>
      <c r="AH34" s="61" t="s">
        <v>411</v>
      </c>
      <c r="AJ34" s="36" t="s">
        <v>2458</v>
      </c>
      <c r="AK34" s="40" t="s">
        <v>257</v>
      </c>
      <c r="AL34" s="32">
        <v>2009</v>
      </c>
      <c r="AM34" s="32" t="s">
        <v>258</v>
      </c>
      <c r="AN34" s="32" t="s">
        <v>260</v>
      </c>
      <c r="AP34" s="35" t="s">
        <v>259</v>
      </c>
      <c r="AQ34" s="52"/>
    </row>
    <row r="35" spans="1:43" x14ac:dyDescent="0.2">
      <c r="A35" s="40">
        <v>1</v>
      </c>
      <c r="B35" s="40">
        <v>34</v>
      </c>
      <c r="C35" s="51" t="s">
        <v>119</v>
      </c>
      <c r="D35" s="38" t="s">
        <v>128</v>
      </c>
      <c r="E35" s="32" t="s">
        <v>2184</v>
      </c>
      <c r="F35" s="32" t="s">
        <v>47</v>
      </c>
      <c r="G35" s="38" t="s">
        <v>183</v>
      </c>
      <c r="H35" s="32" t="s">
        <v>115</v>
      </c>
      <c r="I35" s="32" t="s">
        <v>243</v>
      </c>
      <c r="J35" s="32" t="s">
        <v>261</v>
      </c>
      <c r="K35" s="32" t="s">
        <v>129</v>
      </c>
      <c r="L35" s="32">
        <v>0.33</v>
      </c>
      <c r="M35" s="32">
        <v>34.67</v>
      </c>
      <c r="N35" s="40">
        <v>2005</v>
      </c>
      <c r="O35" s="32">
        <f>VLOOKUP(Data!N166, CPI!$A$2:$B$112, 2, 0)</f>
        <v>195.3</v>
      </c>
      <c r="P35" s="32" t="s">
        <v>7</v>
      </c>
      <c r="Q35" s="32" t="s">
        <v>239</v>
      </c>
      <c r="R35" s="32" t="s">
        <v>296</v>
      </c>
      <c r="S35" s="32">
        <v>244.57</v>
      </c>
      <c r="T35" s="32" t="s">
        <v>405</v>
      </c>
      <c r="U35" s="32">
        <f t="shared" si="0"/>
        <v>349.3857142857143</v>
      </c>
      <c r="V35" s="32" t="s">
        <v>316</v>
      </c>
      <c r="X35" s="32">
        <v>349.3857142857143</v>
      </c>
      <c r="Y35" s="32">
        <f>(CPI!$B$112/O35)*X35</f>
        <v>545.05736776753713</v>
      </c>
      <c r="Z35" s="38" t="s">
        <v>262</v>
      </c>
      <c r="AA35" s="35" t="s">
        <v>1445</v>
      </c>
      <c r="AB35" s="32">
        <v>301766</v>
      </c>
      <c r="AC35" s="32" t="s">
        <v>2441</v>
      </c>
      <c r="AE35" s="32">
        <v>321945</v>
      </c>
      <c r="AF35" s="44" t="s">
        <v>2457</v>
      </c>
      <c r="AG35" s="44"/>
      <c r="AH35" s="61" t="s">
        <v>411</v>
      </c>
      <c r="AJ35" s="36" t="s">
        <v>2458</v>
      </c>
      <c r="AK35" s="40" t="s">
        <v>257</v>
      </c>
      <c r="AL35" s="32">
        <v>2009</v>
      </c>
      <c r="AM35" s="32" t="s">
        <v>258</v>
      </c>
      <c r="AN35" s="32" t="s">
        <v>260</v>
      </c>
      <c r="AP35" s="35" t="s">
        <v>259</v>
      </c>
      <c r="AQ35" s="52"/>
    </row>
    <row r="36" spans="1:43" x14ac:dyDescent="0.2">
      <c r="A36" s="40">
        <v>1</v>
      </c>
      <c r="B36" s="40">
        <v>35</v>
      </c>
      <c r="C36" s="51" t="s">
        <v>119</v>
      </c>
      <c r="D36" s="38" t="s">
        <v>128</v>
      </c>
      <c r="E36" s="32" t="s">
        <v>2184</v>
      </c>
      <c r="F36" s="32" t="s">
        <v>47</v>
      </c>
      <c r="G36" s="38" t="s">
        <v>183</v>
      </c>
      <c r="H36" s="32" t="s">
        <v>115</v>
      </c>
      <c r="I36" s="32" t="s">
        <v>243</v>
      </c>
      <c r="J36" s="32" t="s">
        <v>261</v>
      </c>
      <c r="K36" s="32" t="s">
        <v>129</v>
      </c>
      <c r="L36" s="32">
        <v>0.33</v>
      </c>
      <c r="M36" s="32">
        <v>34.67</v>
      </c>
      <c r="N36" s="40">
        <v>2005</v>
      </c>
      <c r="O36" s="32">
        <f>VLOOKUP(Data!N167, CPI!$A$2:$B$112, 2, 0)</f>
        <v>258.81099999999998</v>
      </c>
      <c r="P36" s="32" t="s">
        <v>7</v>
      </c>
      <c r="Q36" s="32" t="s">
        <v>239</v>
      </c>
      <c r="R36" s="32" t="s">
        <v>297</v>
      </c>
      <c r="S36" s="32">
        <v>114.54</v>
      </c>
      <c r="T36" s="32" t="s">
        <v>405</v>
      </c>
      <c r="U36" s="32">
        <f t="shared" si="0"/>
        <v>163.62857142857143</v>
      </c>
      <c r="V36" s="32" t="s">
        <v>316</v>
      </c>
      <c r="X36" s="32">
        <v>163.62857142857143</v>
      </c>
      <c r="Y36" s="32">
        <f>(CPI!$B$112/O36)*X36</f>
        <v>192.62636190115572</v>
      </c>
      <c r="Z36" s="38" t="s">
        <v>262</v>
      </c>
      <c r="AA36" s="35" t="s">
        <v>1445</v>
      </c>
      <c r="AB36" s="32">
        <v>301766</v>
      </c>
      <c r="AC36" s="32" t="s">
        <v>2441</v>
      </c>
      <c r="AE36" s="32">
        <v>321945</v>
      </c>
      <c r="AF36" s="44" t="s">
        <v>2457</v>
      </c>
      <c r="AG36" s="44"/>
      <c r="AH36" s="61" t="s">
        <v>411</v>
      </c>
      <c r="AJ36" s="36" t="s">
        <v>2458</v>
      </c>
      <c r="AK36" s="40" t="s">
        <v>257</v>
      </c>
      <c r="AL36" s="32">
        <v>2009</v>
      </c>
      <c r="AM36" s="32" t="s">
        <v>258</v>
      </c>
      <c r="AN36" s="32" t="s">
        <v>260</v>
      </c>
      <c r="AP36" s="35" t="s">
        <v>259</v>
      </c>
      <c r="AQ36" s="52"/>
    </row>
    <row r="37" spans="1:43" x14ac:dyDescent="0.2">
      <c r="A37" s="40">
        <v>1</v>
      </c>
      <c r="B37" s="40">
        <v>36</v>
      </c>
      <c r="C37" s="51" t="s">
        <v>119</v>
      </c>
      <c r="D37" s="38" t="s">
        <v>128</v>
      </c>
      <c r="E37" s="32" t="s">
        <v>2184</v>
      </c>
      <c r="F37" s="32" t="s">
        <v>47</v>
      </c>
      <c r="G37" s="38" t="s">
        <v>183</v>
      </c>
      <c r="H37" s="32" t="s">
        <v>115</v>
      </c>
      <c r="I37" s="32" t="s">
        <v>243</v>
      </c>
      <c r="J37" s="32" t="s">
        <v>261</v>
      </c>
      <c r="K37" s="32" t="s">
        <v>129</v>
      </c>
      <c r="L37" s="32">
        <v>0.33</v>
      </c>
      <c r="M37" s="32">
        <v>34.67</v>
      </c>
      <c r="N37" s="40">
        <v>2005</v>
      </c>
      <c r="O37" s="32">
        <f>VLOOKUP(Data!N168, CPI!$A$2:$B$112, 2, 0)</f>
        <v>258.81099999999998</v>
      </c>
      <c r="P37" s="32" t="s">
        <v>7</v>
      </c>
      <c r="Q37" s="32" t="s">
        <v>239</v>
      </c>
      <c r="R37" s="32" t="s">
        <v>298</v>
      </c>
      <c r="S37" s="32">
        <v>184.03</v>
      </c>
      <c r="T37" s="32" t="s">
        <v>405</v>
      </c>
      <c r="U37" s="32">
        <f t="shared" si="0"/>
        <v>262.90000000000003</v>
      </c>
      <c r="V37" s="32" t="s">
        <v>316</v>
      </c>
      <c r="X37" s="32">
        <v>262.90000000000003</v>
      </c>
      <c r="Y37" s="32">
        <f>(CPI!$B$112/O37)*X37</f>
        <v>309.49039096097164</v>
      </c>
      <c r="Z37" s="38" t="s">
        <v>262</v>
      </c>
      <c r="AA37" s="35" t="s">
        <v>1445</v>
      </c>
      <c r="AB37" s="32">
        <v>301766</v>
      </c>
      <c r="AC37" s="32" t="s">
        <v>2441</v>
      </c>
      <c r="AE37" s="32">
        <v>321945</v>
      </c>
      <c r="AF37" s="44" t="s">
        <v>2457</v>
      </c>
      <c r="AG37" s="44"/>
      <c r="AH37" s="61" t="s">
        <v>411</v>
      </c>
      <c r="AJ37" s="36" t="s">
        <v>2458</v>
      </c>
      <c r="AK37" s="40" t="s">
        <v>257</v>
      </c>
      <c r="AL37" s="32">
        <v>2009</v>
      </c>
      <c r="AM37" s="32" t="s">
        <v>258</v>
      </c>
      <c r="AN37" s="32" t="s">
        <v>260</v>
      </c>
      <c r="AP37" s="35" t="s">
        <v>259</v>
      </c>
      <c r="AQ37" s="52"/>
    </row>
    <row r="38" spans="1:43" x14ac:dyDescent="0.2">
      <c r="A38" s="32">
        <v>1</v>
      </c>
      <c r="B38" s="40">
        <v>37</v>
      </c>
      <c r="C38" s="51" t="s">
        <v>119</v>
      </c>
      <c r="D38" s="38" t="s">
        <v>128</v>
      </c>
      <c r="E38" s="32" t="s">
        <v>2184</v>
      </c>
      <c r="F38" s="32" t="s">
        <v>47</v>
      </c>
      <c r="G38" s="38" t="s">
        <v>183</v>
      </c>
      <c r="H38" s="32" t="s">
        <v>115</v>
      </c>
      <c r="I38" s="32" t="s">
        <v>243</v>
      </c>
      <c r="J38" s="32" t="s">
        <v>261</v>
      </c>
      <c r="K38" s="32" t="s">
        <v>129</v>
      </c>
      <c r="L38" s="32">
        <v>0.33</v>
      </c>
      <c r="M38" s="32">
        <v>34.67</v>
      </c>
      <c r="N38" s="40">
        <v>2005</v>
      </c>
      <c r="O38" s="32">
        <f>VLOOKUP(Data!N169, CPI!$A$2:$B$112, 2, 0)</f>
        <v>258.81099999999998</v>
      </c>
      <c r="P38" s="32" t="s">
        <v>7</v>
      </c>
      <c r="Q38" s="32" t="s">
        <v>239</v>
      </c>
      <c r="R38" s="32" t="s">
        <v>299</v>
      </c>
      <c r="S38" s="32">
        <v>179.79</v>
      </c>
      <c r="T38" s="32" t="s">
        <v>405</v>
      </c>
      <c r="U38" s="32">
        <f t="shared" si="0"/>
        <v>256.84285714285716</v>
      </c>
      <c r="V38" s="32" t="s">
        <v>316</v>
      </c>
      <c r="X38" s="32">
        <v>256.84285714285716</v>
      </c>
      <c r="Y38" s="32">
        <f>(CPI!$B$112/O38)*X38</f>
        <v>302.35981845825728</v>
      </c>
      <c r="Z38" s="38" t="s">
        <v>262</v>
      </c>
      <c r="AA38" s="35" t="s">
        <v>1445</v>
      </c>
      <c r="AB38" s="32">
        <v>301766</v>
      </c>
      <c r="AC38" s="32" t="s">
        <v>2441</v>
      </c>
      <c r="AE38" s="32">
        <v>321945</v>
      </c>
      <c r="AF38" s="44" t="s">
        <v>2457</v>
      </c>
      <c r="AG38" s="44"/>
      <c r="AH38" s="61" t="s">
        <v>411</v>
      </c>
      <c r="AJ38" s="36" t="s">
        <v>2458</v>
      </c>
      <c r="AK38" s="40" t="s">
        <v>257</v>
      </c>
      <c r="AL38" s="32">
        <v>2009</v>
      </c>
      <c r="AM38" s="32" t="s">
        <v>258</v>
      </c>
      <c r="AN38" s="32" t="s">
        <v>260</v>
      </c>
      <c r="AP38" s="35" t="s">
        <v>259</v>
      </c>
      <c r="AQ38" s="52"/>
    </row>
    <row r="39" spans="1:43" x14ac:dyDescent="0.2">
      <c r="A39" s="40">
        <v>2</v>
      </c>
      <c r="B39" s="40">
        <v>38</v>
      </c>
      <c r="C39" s="51" t="s">
        <v>119</v>
      </c>
      <c r="D39" s="38" t="s">
        <v>128</v>
      </c>
      <c r="E39" s="32" t="s">
        <v>2186</v>
      </c>
      <c r="F39" s="32" t="s">
        <v>29</v>
      </c>
      <c r="G39" s="38" t="s">
        <v>29</v>
      </c>
      <c r="H39" s="32" t="s">
        <v>115</v>
      </c>
      <c r="I39" s="32" t="s">
        <v>243</v>
      </c>
      <c r="J39" s="32" t="s">
        <v>261</v>
      </c>
      <c r="K39" s="32" t="s">
        <v>129</v>
      </c>
      <c r="L39" s="32">
        <v>0.33</v>
      </c>
      <c r="M39" s="32">
        <v>34.67</v>
      </c>
      <c r="N39" s="40">
        <v>2006</v>
      </c>
      <c r="O39" s="32">
        <f>VLOOKUP(Data!N4, CPI!$A$2:$B$112, 2, 0)</f>
        <v>195.3</v>
      </c>
      <c r="P39" s="32" t="s">
        <v>16</v>
      </c>
      <c r="Q39" s="32" t="s">
        <v>4</v>
      </c>
      <c r="R39" s="32" t="s">
        <v>304</v>
      </c>
      <c r="S39" s="32">
        <v>4580</v>
      </c>
      <c r="T39" s="32" t="s">
        <v>306</v>
      </c>
      <c r="U39" s="32">
        <v>4580</v>
      </c>
      <c r="V39" s="32" t="s">
        <v>306</v>
      </c>
      <c r="W39" s="32">
        <f>VLOOKUP(N39, 'Exchange rate-Kenya'!$A$3:$B$65, 2, 0)</f>
        <v>72.100835017862096</v>
      </c>
      <c r="X39" s="32">
        <f t="shared" ref="X39:X44" si="1">U39/W39</f>
        <v>63.522149207639011</v>
      </c>
      <c r="Y39" s="32">
        <f>(CPI!$B$112/O39)*X39</f>
        <v>99.097398738343713</v>
      </c>
      <c r="Z39" s="38" t="s">
        <v>303</v>
      </c>
      <c r="AA39" s="35" t="s">
        <v>2251</v>
      </c>
      <c r="AB39" s="32">
        <v>301766</v>
      </c>
      <c r="AC39" s="32" t="s">
        <v>2441</v>
      </c>
      <c r="AE39" s="32">
        <v>20000</v>
      </c>
      <c r="AF39" s="44" t="s">
        <v>2462</v>
      </c>
      <c r="AG39"/>
      <c r="AH39" s="61" t="s">
        <v>411</v>
      </c>
      <c r="AJ39" s="36" t="s">
        <v>2328</v>
      </c>
      <c r="AK39" s="40" t="s">
        <v>301</v>
      </c>
      <c r="AL39" s="32">
        <v>2014</v>
      </c>
      <c r="AM39" s="53" t="s">
        <v>302</v>
      </c>
      <c r="AN39" s="32" t="s">
        <v>326</v>
      </c>
      <c r="AP39" s="35" t="s">
        <v>259</v>
      </c>
      <c r="AQ39" s="52"/>
    </row>
    <row r="40" spans="1:43" x14ac:dyDescent="0.2">
      <c r="A40" s="40">
        <v>2</v>
      </c>
      <c r="B40" s="40">
        <v>39</v>
      </c>
      <c r="C40" s="51" t="s">
        <v>119</v>
      </c>
      <c r="D40" s="38" t="s">
        <v>128</v>
      </c>
      <c r="E40" s="32" t="s">
        <v>2186</v>
      </c>
      <c r="F40" s="32" t="s">
        <v>29</v>
      </c>
      <c r="G40" s="38" t="s">
        <v>29</v>
      </c>
      <c r="H40" s="32" t="s">
        <v>115</v>
      </c>
      <c r="I40" s="32" t="s">
        <v>243</v>
      </c>
      <c r="J40" s="32" t="s">
        <v>261</v>
      </c>
      <c r="K40" s="32" t="s">
        <v>129</v>
      </c>
      <c r="L40" s="32">
        <v>0.33</v>
      </c>
      <c r="M40" s="32">
        <v>34.67</v>
      </c>
      <c r="N40" s="40">
        <v>2006</v>
      </c>
      <c r="O40" s="32">
        <f>VLOOKUP(Data!N5, CPI!$A$2:$B$112, 2, 0)</f>
        <v>195.3</v>
      </c>
      <c r="P40" s="32" t="s">
        <v>16</v>
      </c>
      <c r="Q40" s="32" t="s">
        <v>4</v>
      </c>
      <c r="R40" s="32" t="s">
        <v>2459</v>
      </c>
      <c r="S40" s="32">
        <v>662</v>
      </c>
      <c r="T40" s="32" t="s">
        <v>306</v>
      </c>
      <c r="U40" s="32">
        <v>662</v>
      </c>
      <c r="V40" s="32" t="s">
        <v>306</v>
      </c>
      <c r="W40" s="32">
        <f>VLOOKUP(N40, 'Exchange rate-Kenya'!$A$3:$B$65, 2, 0)</f>
        <v>72.100835017862096</v>
      </c>
      <c r="X40" s="32">
        <f t="shared" si="1"/>
        <v>9.1815857588334122</v>
      </c>
      <c r="Y40" s="32">
        <f>(CPI!$B$112/O40)*X40</f>
        <v>14.323685145149247</v>
      </c>
      <c r="Z40" s="38" t="s">
        <v>303</v>
      </c>
      <c r="AA40" s="35" t="s">
        <v>1447</v>
      </c>
      <c r="AB40" s="32">
        <v>301766</v>
      </c>
      <c r="AC40" s="32" t="s">
        <v>2441</v>
      </c>
      <c r="AE40" s="32">
        <v>20000</v>
      </c>
      <c r="AF40" s="44" t="s">
        <v>2462</v>
      </c>
      <c r="AG40"/>
      <c r="AH40" s="61" t="s">
        <v>411</v>
      </c>
      <c r="AJ40" s="36" t="s">
        <v>2328</v>
      </c>
      <c r="AK40" s="40" t="s">
        <v>301</v>
      </c>
      <c r="AL40" s="32">
        <v>2014</v>
      </c>
      <c r="AM40" s="53" t="s">
        <v>302</v>
      </c>
      <c r="AN40" s="32" t="s">
        <v>326</v>
      </c>
      <c r="AP40" s="35" t="s">
        <v>259</v>
      </c>
      <c r="AQ40" s="52"/>
    </row>
    <row r="41" spans="1:43" x14ac:dyDescent="0.2">
      <c r="A41" s="40">
        <v>2</v>
      </c>
      <c r="B41" s="40">
        <v>40</v>
      </c>
      <c r="C41" s="51" t="s">
        <v>119</v>
      </c>
      <c r="D41" s="38" t="s">
        <v>128</v>
      </c>
      <c r="E41" s="32" t="s">
        <v>2183</v>
      </c>
      <c r="F41" s="32" t="s">
        <v>43</v>
      </c>
      <c r="G41" s="38" t="s">
        <v>169</v>
      </c>
      <c r="H41" s="32" t="s">
        <v>115</v>
      </c>
      <c r="I41" s="32" t="s">
        <v>243</v>
      </c>
      <c r="J41" s="32" t="s">
        <v>261</v>
      </c>
      <c r="K41" s="32" t="s">
        <v>129</v>
      </c>
      <c r="L41" s="32">
        <v>0.33</v>
      </c>
      <c r="M41" s="32">
        <v>34.67</v>
      </c>
      <c r="N41" s="40">
        <v>2006</v>
      </c>
      <c r="O41" s="32">
        <f>VLOOKUP(Data!N6, CPI!$A$2:$B$112, 2, 0)</f>
        <v>195.3</v>
      </c>
      <c r="P41" s="32" t="s">
        <v>16</v>
      </c>
      <c r="Q41" s="32" t="s">
        <v>4</v>
      </c>
      <c r="R41" s="32" t="s">
        <v>2460</v>
      </c>
      <c r="S41" s="32">
        <v>1835</v>
      </c>
      <c r="T41" s="32" t="s">
        <v>306</v>
      </c>
      <c r="U41" s="32">
        <v>1835</v>
      </c>
      <c r="V41" s="32" t="s">
        <v>306</v>
      </c>
      <c r="W41" s="32">
        <f>VLOOKUP(N41, 'Exchange rate-Kenya'!$A$3:$B$65, 2, 0)</f>
        <v>72.100835017862096</v>
      </c>
      <c r="X41" s="32">
        <f t="shared" si="1"/>
        <v>25.450468077733099</v>
      </c>
      <c r="Y41" s="32">
        <f>(CPI!$B$112/O41)*X41</f>
        <v>39.703870455209767</v>
      </c>
      <c r="Z41" s="38" t="s">
        <v>303</v>
      </c>
      <c r="AA41" s="35" t="s">
        <v>1447</v>
      </c>
      <c r="AB41" s="32">
        <v>301766</v>
      </c>
      <c r="AC41" s="32" t="s">
        <v>2441</v>
      </c>
      <c r="AE41" s="32">
        <v>20000</v>
      </c>
      <c r="AF41" s="44" t="s">
        <v>2462</v>
      </c>
      <c r="AG41"/>
      <c r="AH41" s="61" t="s">
        <v>411</v>
      </c>
      <c r="AJ41" s="36" t="s">
        <v>2328</v>
      </c>
      <c r="AK41" s="40" t="s">
        <v>301</v>
      </c>
      <c r="AL41" s="32">
        <v>2014</v>
      </c>
      <c r="AM41" s="53" t="s">
        <v>302</v>
      </c>
      <c r="AN41" s="32" t="s">
        <v>326</v>
      </c>
      <c r="AP41" s="35" t="s">
        <v>259</v>
      </c>
      <c r="AQ41" s="52"/>
    </row>
    <row r="42" spans="1:43" x14ac:dyDescent="0.2">
      <c r="A42" s="40">
        <v>2</v>
      </c>
      <c r="B42" s="40">
        <v>41</v>
      </c>
      <c r="C42" s="51" t="s">
        <v>119</v>
      </c>
      <c r="D42" s="38" t="s">
        <v>128</v>
      </c>
      <c r="E42" s="32" t="s">
        <v>2186</v>
      </c>
      <c r="F42" s="32" t="s">
        <v>29</v>
      </c>
      <c r="G42" s="38" t="s">
        <v>29</v>
      </c>
      <c r="H42" s="32" t="s">
        <v>115</v>
      </c>
      <c r="I42" s="32" t="s">
        <v>243</v>
      </c>
      <c r="J42" s="32" t="s">
        <v>261</v>
      </c>
      <c r="K42" s="32" t="s">
        <v>129</v>
      </c>
      <c r="L42" s="32">
        <v>0.33</v>
      </c>
      <c r="M42" s="32">
        <v>34.67</v>
      </c>
      <c r="N42" s="40">
        <v>2006</v>
      </c>
      <c r="O42" s="32">
        <f>VLOOKUP(Data!N7, CPI!$A$2:$B$112, 2, 0)</f>
        <v>195.3</v>
      </c>
      <c r="P42" s="32" t="s">
        <v>16</v>
      </c>
      <c r="Q42" s="32" t="s">
        <v>4</v>
      </c>
      <c r="R42" s="32" t="s">
        <v>2461</v>
      </c>
      <c r="S42" s="32">
        <v>1150</v>
      </c>
      <c r="T42" s="32" t="s">
        <v>306</v>
      </c>
      <c r="U42" s="32">
        <v>1150</v>
      </c>
      <c r="V42" s="32" t="s">
        <v>306</v>
      </c>
      <c r="W42" s="32">
        <f>VLOOKUP(N42, 'Exchange rate-Kenya'!$A$3:$B$65, 2, 0)</f>
        <v>72.100835017862096</v>
      </c>
      <c r="X42" s="32">
        <f t="shared" si="1"/>
        <v>15.949884626372242</v>
      </c>
      <c r="Y42" s="32">
        <f>(CPI!$B$112/O42)*X42</f>
        <v>24.882534617706394</v>
      </c>
      <c r="Z42" s="38" t="s">
        <v>303</v>
      </c>
      <c r="AA42" s="35" t="s">
        <v>1447</v>
      </c>
      <c r="AB42" s="32">
        <v>301766</v>
      </c>
      <c r="AC42" s="32" t="s">
        <v>2441</v>
      </c>
      <c r="AE42" s="32">
        <v>20000</v>
      </c>
      <c r="AF42" s="44" t="s">
        <v>2462</v>
      </c>
      <c r="AG42"/>
      <c r="AH42" s="61" t="s">
        <v>411</v>
      </c>
      <c r="AJ42" s="36" t="s">
        <v>2328</v>
      </c>
      <c r="AK42" s="40" t="s">
        <v>301</v>
      </c>
      <c r="AL42" s="32">
        <v>2014</v>
      </c>
      <c r="AM42" s="53" t="s">
        <v>302</v>
      </c>
      <c r="AN42" s="32" t="s">
        <v>326</v>
      </c>
      <c r="AP42" s="35" t="s">
        <v>259</v>
      </c>
      <c r="AQ42" s="52"/>
    </row>
    <row r="43" spans="1:43" x14ac:dyDescent="0.2">
      <c r="A43" s="40">
        <v>2</v>
      </c>
      <c r="B43" s="40">
        <v>42</v>
      </c>
      <c r="C43" s="51" t="s">
        <v>119</v>
      </c>
      <c r="D43" s="38" t="s">
        <v>128</v>
      </c>
      <c r="E43" s="32" t="s">
        <v>2183</v>
      </c>
      <c r="F43" s="32" t="s">
        <v>126</v>
      </c>
      <c r="G43" s="54" t="s">
        <v>2909</v>
      </c>
      <c r="H43" s="32" t="s">
        <v>115</v>
      </c>
      <c r="I43" s="32" t="s">
        <v>243</v>
      </c>
      <c r="J43" s="32" t="s">
        <v>261</v>
      </c>
      <c r="K43" s="32" t="s">
        <v>129</v>
      </c>
      <c r="L43" s="32">
        <v>0.33</v>
      </c>
      <c r="M43" s="32">
        <v>34.67</v>
      </c>
      <c r="N43" s="40">
        <v>2006</v>
      </c>
      <c r="O43" s="32">
        <f>VLOOKUP(Data!N8, CPI!$A$2:$B$112, 2, 0)</f>
        <v>195.3</v>
      </c>
      <c r="P43" s="32" t="s">
        <v>122</v>
      </c>
      <c r="Q43" s="32" t="s">
        <v>4</v>
      </c>
      <c r="R43" s="32" t="s">
        <v>309</v>
      </c>
      <c r="S43" s="32">
        <v>8890</v>
      </c>
      <c r="T43" s="32" t="s">
        <v>306</v>
      </c>
      <c r="U43" s="32">
        <f>(8890*20000)/24000</f>
        <v>7408.333333333333</v>
      </c>
      <c r="V43" s="32" t="s">
        <v>306</v>
      </c>
      <c r="W43" s="32">
        <f>VLOOKUP(N43, 'Exchange rate-Kenya'!$A$3:$B$65, 2, 0)</f>
        <v>72.100835017862096</v>
      </c>
      <c r="X43" s="32">
        <f t="shared" si="1"/>
        <v>102.74961907858639</v>
      </c>
      <c r="Y43" s="32">
        <f>(CPI!$B$112/O43)*X43</f>
        <v>160.29400924015204</v>
      </c>
      <c r="Z43" s="38" t="s">
        <v>303</v>
      </c>
      <c r="AA43" s="35" t="s">
        <v>1448</v>
      </c>
      <c r="AB43" s="32">
        <v>301766</v>
      </c>
      <c r="AC43" s="32" t="s">
        <v>2441</v>
      </c>
      <c r="AE43" s="32">
        <v>20000</v>
      </c>
      <c r="AF43" s="44" t="s">
        <v>2462</v>
      </c>
      <c r="AG43"/>
      <c r="AH43" s="61" t="s">
        <v>411</v>
      </c>
      <c r="AJ43" s="36" t="s">
        <v>2328</v>
      </c>
      <c r="AK43" s="40" t="s">
        <v>301</v>
      </c>
      <c r="AL43" s="32">
        <v>2014</v>
      </c>
      <c r="AM43" s="53" t="s">
        <v>302</v>
      </c>
      <c r="AN43" s="32" t="s">
        <v>326</v>
      </c>
      <c r="AP43" s="35" t="s">
        <v>259</v>
      </c>
      <c r="AQ43" s="52"/>
    </row>
    <row r="44" spans="1:43" x14ac:dyDescent="0.2">
      <c r="A44" s="40">
        <v>2</v>
      </c>
      <c r="B44" s="40">
        <v>43</v>
      </c>
      <c r="C44" s="51" t="s">
        <v>119</v>
      </c>
      <c r="D44" s="38" t="s">
        <v>128</v>
      </c>
      <c r="E44" s="32" t="s">
        <v>2186</v>
      </c>
      <c r="F44" s="32" t="s">
        <v>29</v>
      </c>
      <c r="G44" s="38" t="s">
        <v>29</v>
      </c>
      <c r="H44" s="32" t="s">
        <v>115</v>
      </c>
      <c r="I44" s="32" t="s">
        <v>243</v>
      </c>
      <c r="J44" s="32" t="s">
        <v>261</v>
      </c>
      <c r="K44" s="32" t="s">
        <v>129</v>
      </c>
      <c r="L44" s="32">
        <v>0.33</v>
      </c>
      <c r="M44" s="32">
        <v>34.67</v>
      </c>
      <c r="N44" s="40">
        <v>2006</v>
      </c>
      <c r="O44" s="32">
        <f>VLOOKUP(Data!N9, CPI!$A$2:$B$112, 2, 0)</f>
        <v>195.3</v>
      </c>
      <c r="P44" s="32" t="s">
        <v>122</v>
      </c>
      <c r="Q44" s="32" t="s">
        <v>4</v>
      </c>
      <c r="R44" s="32" t="s">
        <v>308</v>
      </c>
      <c r="S44" s="32">
        <v>7290</v>
      </c>
      <c r="T44" s="32" t="s">
        <v>306</v>
      </c>
      <c r="U44" s="32">
        <f>(7290*20000)/24000</f>
        <v>6075</v>
      </c>
      <c r="V44" s="32" t="s">
        <v>306</v>
      </c>
      <c r="W44" s="32">
        <f>VLOOKUP(N44, 'Exchange rate-Kenya'!$A$3:$B$65, 2, 0)</f>
        <v>72.100835017862096</v>
      </c>
      <c r="X44" s="32">
        <f t="shared" si="1"/>
        <v>84.256999221922925</v>
      </c>
      <c r="Y44" s="32">
        <f>(CPI!$B$112/O44)*X44</f>
        <v>131.44469374136202</v>
      </c>
      <c r="Z44" s="38" t="s">
        <v>303</v>
      </c>
      <c r="AA44" s="35" t="s">
        <v>1448</v>
      </c>
      <c r="AB44" s="32">
        <v>301766</v>
      </c>
      <c r="AC44" s="32" t="s">
        <v>2441</v>
      </c>
      <c r="AE44" s="32">
        <v>20000</v>
      </c>
      <c r="AF44" s="44" t="s">
        <v>2462</v>
      </c>
      <c r="AG44"/>
      <c r="AH44" s="61" t="s">
        <v>411</v>
      </c>
      <c r="AJ44" s="36" t="s">
        <v>2328</v>
      </c>
      <c r="AK44" s="40" t="s">
        <v>301</v>
      </c>
      <c r="AL44" s="32">
        <v>2014</v>
      </c>
      <c r="AM44" s="53" t="s">
        <v>302</v>
      </c>
      <c r="AN44" s="32" t="s">
        <v>326</v>
      </c>
      <c r="AP44" s="35" t="s">
        <v>259</v>
      </c>
      <c r="AQ44" s="52"/>
    </row>
    <row r="45" spans="1:43" x14ac:dyDescent="0.2">
      <c r="A45" s="40">
        <v>3</v>
      </c>
      <c r="B45" s="40">
        <v>44</v>
      </c>
      <c r="C45" s="51" t="s">
        <v>119</v>
      </c>
      <c r="D45" s="38" t="s">
        <v>128</v>
      </c>
      <c r="E45" s="32" t="s">
        <v>2887</v>
      </c>
      <c r="F45" s="32" t="s">
        <v>10</v>
      </c>
      <c r="G45" s="38" t="s">
        <v>19</v>
      </c>
      <c r="H45" s="32" t="s">
        <v>115</v>
      </c>
      <c r="I45" s="32" t="s">
        <v>243</v>
      </c>
      <c r="J45" s="32" t="s">
        <v>261</v>
      </c>
      <c r="K45" s="32" t="s">
        <v>129</v>
      </c>
      <c r="L45" s="32" t="s">
        <v>30</v>
      </c>
      <c r="M45" s="32" t="s">
        <v>30</v>
      </c>
      <c r="N45" s="40">
        <v>2011</v>
      </c>
      <c r="O45" s="32">
        <f>VLOOKUP(Data!N170, CPI!$A$2:$B$112, 2, 0)</f>
        <v>258.81099999999998</v>
      </c>
      <c r="P45" s="32" t="s">
        <v>27</v>
      </c>
      <c r="Q45" s="32" t="s">
        <v>239</v>
      </c>
      <c r="R45" s="32" t="s">
        <v>317</v>
      </c>
      <c r="S45" s="32">
        <v>1.2</v>
      </c>
      <c r="T45" s="32" t="s">
        <v>316</v>
      </c>
      <c r="U45" s="32">
        <v>1.2</v>
      </c>
      <c r="V45" s="32" t="s">
        <v>316</v>
      </c>
      <c r="X45" s="32">
        <v>1.2</v>
      </c>
      <c r="Y45" s="32">
        <f>(CPI!$B$112/O45)*X45</f>
        <v>1.4126605901603877</v>
      </c>
      <c r="Z45" s="38" t="s">
        <v>262</v>
      </c>
      <c r="AA45" s="35" t="s">
        <v>1446</v>
      </c>
      <c r="AB45" s="32">
        <v>23780</v>
      </c>
      <c r="AC45" s="32" t="s">
        <v>2441</v>
      </c>
      <c r="AF45" s="44"/>
      <c r="AG45" s="44"/>
      <c r="AH45" s="61" t="s">
        <v>411</v>
      </c>
      <c r="AJ45" s="36"/>
      <c r="AK45" s="40" t="s">
        <v>313</v>
      </c>
      <c r="AL45" s="32">
        <v>2015</v>
      </c>
      <c r="AM45" s="32" t="s">
        <v>314</v>
      </c>
      <c r="AN45" s="32" t="s">
        <v>315</v>
      </c>
      <c r="AP45" s="35" t="s">
        <v>259</v>
      </c>
    </row>
    <row r="46" spans="1:43" x14ac:dyDescent="0.2">
      <c r="A46" s="40">
        <v>3</v>
      </c>
      <c r="B46" s="40">
        <v>45</v>
      </c>
      <c r="C46" s="51" t="s">
        <v>119</v>
      </c>
      <c r="D46" s="38" t="s">
        <v>128</v>
      </c>
      <c r="E46" s="32" t="s">
        <v>2183</v>
      </c>
      <c r="F46" s="32" t="s">
        <v>237</v>
      </c>
      <c r="G46" s="38" t="s">
        <v>117</v>
      </c>
      <c r="H46" s="32" t="s">
        <v>115</v>
      </c>
      <c r="I46" s="32" t="s">
        <v>243</v>
      </c>
      <c r="J46" s="32" t="s">
        <v>261</v>
      </c>
      <c r="K46" s="32" t="s">
        <v>129</v>
      </c>
      <c r="L46" s="32" t="s">
        <v>30</v>
      </c>
      <c r="M46" s="32" t="s">
        <v>30</v>
      </c>
      <c r="N46" s="40">
        <v>2011</v>
      </c>
      <c r="O46" s="32">
        <f>VLOOKUP(Data!N171, CPI!$A$2:$B$112, 2, 0)</f>
        <v>258.81099999999998</v>
      </c>
      <c r="P46" s="32" t="s">
        <v>7</v>
      </c>
      <c r="Q46" s="32" t="s">
        <v>239</v>
      </c>
      <c r="R46" s="32" t="s">
        <v>318</v>
      </c>
      <c r="S46" s="32">
        <v>17</v>
      </c>
      <c r="T46" s="32" t="s">
        <v>316</v>
      </c>
      <c r="U46" s="32">
        <v>17</v>
      </c>
      <c r="V46" s="32" t="s">
        <v>316</v>
      </c>
      <c r="X46" s="32">
        <v>17</v>
      </c>
      <c r="Y46" s="32">
        <f>(CPI!$B$112/O46)*X46</f>
        <v>20.012691693938827</v>
      </c>
      <c r="Z46" s="38" t="s">
        <v>262</v>
      </c>
      <c r="AA46" s="35" t="s">
        <v>1446</v>
      </c>
      <c r="AB46" s="32">
        <v>23780</v>
      </c>
      <c r="AC46" s="32" t="s">
        <v>2441</v>
      </c>
      <c r="AF46" s="44"/>
      <c r="AG46" s="44"/>
      <c r="AH46" s="61" t="s">
        <v>411</v>
      </c>
      <c r="AJ46" s="36"/>
      <c r="AK46" s="40" t="s">
        <v>313</v>
      </c>
      <c r="AL46" s="32">
        <v>2015</v>
      </c>
      <c r="AM46" s="32" t="s">
        <v>314</v>
      </c>
      <c r="AN46" s="32" t="s">
        <v>315</v>
      </c>
      <c r="AP46" s="35" t="s">
        <v>259</v>
      </c>
    </row>
    <row r="47" spans="1:43" x14ac:dyDescent="0.2">
      <c r="A47" s="40">
        <v>3</v>
      </c>
      <c r="B47" s="40">
        <v>46</v>
      </c>
      <c r="C47" s="51" t="s">
        <v>119</v>
      </c>
      <c r="D47" s="38" t="s">
        <v>128</v>
      </c>
      <c r="E47" s="32" t="s">
        <v>2183</v>
      </c>
      <c r="F47" s="32" t="s">
        <v>140</v>
      </c>
      <c r="G47" s="38" t="s">
        <v>2160</v>
      </c>
      <c r="H47" s="32" t="s">
        <v>115</v>
      </c>
      <c r="I47" s="32" t="s">
        <v>243</v>
      </c>
      <c r="J47" s="32" t="s">
        <v>261</v>
      </c>
      <c r="K47" s="32" t="s">
        <v>129</v>
      </c>
      <c r="L47" s="32" t="s">
        <v>30</v>
      </c>
      <c r="M47" s="32" t="s">
        <v>30</v>
      </c>
      <c r="N47" s="40">
        <v>2011</v>
      </c>
      <c r="O47" s="32">
        <f>VLOOKUP(Data!N172, CPI!$A$2:$B$112, 2, 0)</f>
        <v>258.81099999999998</v>
      </c>
      <c r="P47" s="32" t="s">
        <v>7</v>
      </c>
      <c r="Q47" s="32" t="s">
        <v>239</v>
      </c>
      <c r="R47" s="32" t="s">
        <v>319</v>
      </c>
      <c r="S47" s="32">
        <v>0.1</v>
      </c>
      <c r="T47" s="32" t="s">
        <v>316</v>
      </c>
      <c r="U47" s="32">
        <v>0.1</v>
      </c>
      <c r="V47" s="32" t="s">
        <v>316</v>
      </c>
      <c r="X47" s="32">
        <v>0.1</v>
      </c>
      <c r="Y47" s="32">
        <f>(CPI!$B$112/O47)*X47</f>
        <v>0.11772171584669898</v>
      </c>
      <c r="Z47" s="38" t="s">
        <v>262</v>
      </c>
      <c r="AA47" s="35" t="s">
        <v>1446</v>
      </c>
      <c r="AB47" s="32">
        <v>23780</v>
      </c>
      <c r="AC47" s="32" t="s">
        <v>2441</v>
      </c>
      <c r="AF47" s="44"/>
      <c r="AG47" s="44"/>
      <c r="AH47" s="61" t="s">
        <v>411</v>
      </c>
      <c r="AJ47" s="36"/>
      <c r="AK47" s="40" t="s">
        <v>313</v>
      </c>
      <c r="AL47" s="32">
        <v>2015</v>
      </c>
      <c r="AM47" s="32" t="s">
        <v>314</v>
      </c>
      <c r="AN47" s="32" t="s">
        <v>315</v>
      </c>
      <c r="AP47" s="35" t="s">
        <v>259</v>
      </c>
    </row>
    <row r="48" spans="1:43" x14ac:dyDescent="0.2">
      <c r="A48" s="40">
        <v>3</v>
      </c>
      <c r="B48" s="40">
        <v>47</v>
      </c>
      <c r="C48" s="51" t="s">
        <v>119</v>
      </c>
      <c r="D48" s="38" t="s">
        <v>128</v>
      </c>
      <c r="E48" s="32" t="s">
        <v>2183</v>
      </c>
      <c r="F48" s="32" t="s">
        <v>126</v>
      </c>
      <c r="G48" s="38" t="s">
        <v>212</v>
      </c>
      <c r="H48" s="32" t="s">
        <v>115</v>
      </c>
      <c r="I48" s="32" t="s">
        <v>243</v>
      </c>
      <c r="J48" s="32" t="s">
        <v>261</v>
      </c>
      <c r="K48" s="32" t="s">
        <v>129</v>
      </c>
      <c r="L48" s="32" t="s">
        <v>30</v>
      </c>
      <c r="M48" s="32" t="s">
        <v>30</v>
      </c>
      <c r="N48" s="40">
        <v>2011</v>
      </c>
      <c r="O48" s="32">
        <f>VLOOKUP(Data!N173, CPI!$A$2:$B$112, 2, 0)</f>
        <v>258.81099999999998</v>
      </c>
      <c r="P48" s="32" t="s">
        <v>7</v>
      </c>
      <c r="Q48" s="32" t="s">
        <v>239</v>
      </c>
      <c r="R48" s="32" t="s">
        <v>320</v>
      </c>
      <c r="S48" s="32">
        <v>0.1</v>
      </c>
      <c r="T48" s="32" t="s">
        <v>316</v>
      </c>
      <c r="U48" s="32">
        <v>0.1</v>
      </c>
      <c r="V48" s="32" t="s">
        <v>316</v>
      </c>
      <c r="X48" s="32">
        <v>0.1</v>
      </c>
      <c r="Y48" s="32">
        <f>(CPI!$B$112/O48)*X48</f>
        <v>0.11772171584669898</v>
      </c>
      <c r="Z48" s="38" t="s">
        <v>262</v>
      </c>
      <c r="AA48" s="35" t="s">
        <v>1446</v>
      </c>
      <c r="AB48" s="32">
        <v>23780</v>
      </c>
      <c r="AC48" s="32" t="s">
        <v>2441</v>
      </c>
      <c r="AF48" s="44"/>
      <c r="AG48" s="44"/>
      <c r="AH48" s="61" t="s">
        <v>411</v>
      </c>
      <c r="AJ48" s="36"/>
      <c r="AK48" s="40" t="s">
        <v>313</v>
      </c>
      <c r="AL48" s="32">
        <v>2015</v>
      </c>
      <c r="AM48" s="32" t="s">
        <v>314</v>
      </c>
      <c r="AN48" s="32" t="s">
        <v>315</v>
      </c>
      <c r="AP48" s="35" t="s">
        <v>259</v>
      </c>
    </row>
    <row r="49" spans="1:42" x14ac:dyDescent="0.2">
      <c r="A49" s="40">
        <v>3</v>
      </c>
      <c r="B49" s="40">
        <v>48</v>
      </c>
      <c r="C49" s="51" t="s">
        <v>119</v>
      </c>
      <c r="D49" s="38" t="s">
        <v>128</v>
      </c>
      <c r="E49" s="32" t="s">
        <v>2183</v>
      </c>
      <c r="F49" s="32" t="s">
        <v>126</v>
      </c>
      <c r="G49" s="38" t="s">
        <v>127</v>
      </c>
      <c r="H49" s="32" t="s">
        <v>115</v>
      </c>
      <c r="I49" s="32" t="s">
        <v>243</v>
      </c>
      <c r="J49" s="32" t="s">
        <v>261</v>
      </c>
      <c r="K49" s="32" t="s">
        <v>129</v>
      </c>
      <c r="L49" s="32" t="s">
        <v>30</v>
      </c>
      <c r="M49" s="32" t="s">
        <v>30</v>
      </c>
      <c r="N49" s="40">
        <v>2011</v>
      </c>
      <c r="O49" s="32">
        <f>VLOOKUP(Data!N174, CPI!$A$2:$B$112, 2, 0)</f>
        <v>258.81099999999998</v>
      </c>
      <c r="P49" s="32" t="s">
        <v>7</v>
      </c>
      <c r="Q49" s="32" t="s">
        <v>239</v>
      </c>
      <c r="R49" s="32" t="s">
        <v>321</v>
      </c>
      <c r="S49" s="32">
        <v>6</v>
      </c>
      <c r="T49" s="32" t="s">
        <v>316</v>
      </c>
      <c r="U49" s="32">
        <v>6</v>
      </c>
      <c r="V49" s="32" t="s">
        <v>316</v>
      </c>
      <c r="X49" s="32">
        <v>6</v>
      </c>
      <c r="Y49" s="32">
        <f>(CPI!$B$112/O49)*X49</f>
        <v>7.0633029508019387</v>
      </c>
      <c r="Z49" s="38" t="s">
        <v>262</v>
      </c>
      <c r="AA49" s="35" t="s">
        <v>1446</v>
      </c>
      <c r="AB49" s="32">
        <v>23780</v>
      </c>
      <c r="AC49" s="32" t="s">
        <v>2441</v>
      </c>
      <c r="AF49" s="44"/>
      <c r="AG49" s="44"/>
      <c r="AH49" s="61" t="s">
        <v>411</v>
      </c>
      <c r="AJ49" s="36"/>
      <c r="AK49" s="40" t="s">
        <v>313</v>
      </c>
      <c r="AL49" s="32">
        <v>2015</v>
      </c>
      <c r="AM49" s="32" t="s">
        <v>314</v>
      </c>
      <c r="AN49" s="32" t="s">
        <v>315</v>
      </c>
      <c r="AP49" s="35" t="s">
        <v>259</v>
      </c>
    </row>
    <row r="50" spans="1:42" x14ac:dyDescent="0.2">
      <c r="A50" s="40">
        <v>3</v>
      </c>
      <c r="B50" s="40">
        <v>49</v>
      </c>
      <c r="C50" s="51" t="s">
        <v>119</v>
      </c>
      <c r="D50" s="38" t="s">
        <v>128</v>
      </c>
      <c r="E50" s="32" t="s">
        <v>2183</v>
      </c>
      <c r="F50" s="32" t="s">
        <v>126</v>
      </c>
      <c r="G50" s="38" t="s">
        <v>60</v>
      </c>
      <c r="H50" s="32" t="s">
        <v>115</v>
      </c>
      <c r="I50" s="32" t="s">
        <v>243</v>
      </c>
      <c r="J50" s="32" t="s">
        <v>261</v>
      </c>
      <c r="K50" s="32" t="s">
        <v>129</v>
      </c>
      <c r="L50" s="32" t="s">
        <v>30</v>
      </c>
      <c r="M50" s="32" t="s">
        <v>30</v>
      </c>
      <c r="N50" s="40">
        <v>2011</v>
      </c>
      <c r="O50" s="32">
        <f>VLOOKUP(Data!N175, CPI!$A$2:$B$112, 2, 0)</f>
        <v>258.81099999999998</v>
      </c>
      <c r="P50" s="32" t="s">
        <v>27</v>
      </c>
      <c r="Q50" s="32" t="s">
        <v>239</v>
      </c>
      <c r="R50" s="32" t="s">
        <v>322</v>
      </c>
      <c r="S50" s="32">
        <v>89</v>
      </c>
      <c r="T50" s="32" t="s">
        <v>316</v>
      </c>
      <c r="U50" s="32">
        <v>89</v>
      </c>
      <c r="V50" s="32" t="s">
        <v>316</v>
      </c>
      <c r="X50" s="32">
        <v>89</v>
      </c>
      <c r="Y50" s="32">
        <f>(CPI!$B$112/O50)*X50</f>
        <v>104.77232710356209</v>
      </c>
      <c r="Z50" s="38" t="s">
        <v>262</v>
      </c>
      <c r="AA50" s="35" t="s">
        <v>1446</v>
      </c>
      <c r="AB50" s="32">
        <v>23780</v>
      </c>
      <c r="AC50" s="32" t="s">
        <v>2441</v>
      </c>
      <c r="AF50" s="44"/>
      <c r="AG50" s="44"/>
      <c r="AH50" s="61" t="s">
        <v>411</v>
      </c>
      <c r="AJ50" s="36"/>
      <c r="AK50" s="40" t="s">
        <v>313</v>
      </c>
      <c r="AL50" s="32">
        <v>2015</v>
      </c>
      <c r="AM50" s="32" t="s">
        <v>314</v>
      </c>
      <c r="AN50" s="32" t="s">
        <v>315</v>
      </c>
      <c r="AP50" s="35" t="s">
        <v>259</v>
      </c>
    </row>
    <row r="51" spans="1:42" x14ac:dyDescent="0.2">
      <c r="A51" s="40">
        <v>3</v>
      </c>
      <c r="B51" s="40">
        <v>50</v>
      </c>
      <c r="C51" s="51" t="s">
        <v>119</v>
      </c>
      <c r="D51" s="38" t="s">
        <v>128</v>
      </c>
      <c r="E51" s="32" t="s">
        <v>2183</v>
      </c>
      <c r="F51" s="32" t="s">
        <v>126</v>
      </c>
      <c r="G51" s="38" t="s">
        <v>153</v>
      </c>
      <c r="H51" s="32" t="s">
        <v>115</v>
      </c>
      <c r="I51" s="32" t="s">
        <v>243</v>
      </c>
      <c r="J51" s="32" t="s">
        <v>261</v>
      </c>
      <c r="K51" s="32" t="s">
        <v>129</v>
      </c>
      <c r="L51" s="32" t="s">
        <v>30</v>
      </c>
      <c r="M51" s="32" t="s">
        <v>30</v>
      </c>
      <c r="N51" s="40">
        <v>2011</v>
      </c>
      <c r="O51" s="32">
        <f>VLOOKUP(Data!N176, CPI!$A$2:$B$112, 2, 0)</f>
        <v>258.81099999999998</v>
      </c>
      <c r="P51" s="32" t="s">
        <v>7</v>
      </c>
      <c r="Q51" s="32" t="s">
        <v>239</v>
      </c>
      <c r="R51" s="32" t="s">
        <v>323</v>
      </c>
      <c r="S51" s="32">
        <v>33</v>
      </c>
      <c r="T51" s="32" t="s">
        <v>316</v>
      </c>
      <c r="U51" s="32">
        <v>33</v>
      </c>
      <c r="V51" s="32" t="s">
        <v>316</v>
      </c>
      <c r="X51" s="32">
        <v>33</v>
      </c>
      <c r="Y51" s="32">
        <f>(CPI!$B$112/O51)*X51</f>
        <v>38.848166229410658</v>
      </c>
      <c r="Z51" s="38" t="s">
        <v>262</v>
      </c>
      <c r="AA51" s="35" t="s">
        <v>1446</v>
      </c>
      <c r="AB51" s="32">
        <v>23780</v>
      </c>
      <c r="AC51" s="32" t="s">
        <v>2441</v>
      </c>
      <c r="AF51" s="44"/>
      <c r="AG51" s="44"/>
      <c r="AH51" s="61" t="s">
        <v>411</v>
      </c>
      <c r="AJ51" s="36"/>
      <c r="AK51" s="40" t="s">
        <v>313</v>
      </c>
      <c r="AL51" s="32">
        <v>2015</v>
      </c>
      <c r="AM51" s="32" t="s">
        <v>314</v>
      </c>
      <c r="AN51" s="32" t="s">
        <v>315</v>
      </c>
      <c r="AP51" s="35" t="s">
        <v>259</v>
      </c>
    </row>
    <row r="52" spans="1:42" x14ac:dyDescent="0.2">
      <c r="A52" s="40">
        <v>3</v>
      </c>
      <c r="B52" s="40">
        <v>51</v>
      </c>
      <c r="C52" s="51" t="s">
        <v>119</v>
      </c>
      <c r="D52" s="38" t="s">
        <v>128</v>
      </c>
      <c r="E52" s="32" t="s">
        <v>2183</v>
      </c>
      <c r="F52" s="32" t="s">
        <v>126</v>
      </c>
      <c r="G52" s="38" t="s">
        <v>153</v>
      </c>
      <c r="H52" s="32" t="s">
        <v>115</v>
      </c>
      <c r="I52" s="32" t="s">
        <v>243</v>
      </c>
      <c r="J52" s="32" t="s">
        <v>261</v>
      </c>
      <c r="K52" s="32" t="s">
        <v>129</v>
      </c>
      <c r="L52" s="32" t="s">
        <v>30</v>
      </c>
      <c r="M52" s="32" t="s">
        <v>30</v>
      </c>
      <c r="N52" s="40">
        <v>2011</v>
      </c>
      <c r="O52" s="32">
        <f>VLOOKUP(Data!N177, CPI!$A$2:$B$112, 2, 0)</f>
        <v>258.81099999999998</v>
      </c>
      <c r="P52" s="32" t="s">
        <v>7</v>
      </c>
      <c r="Q52" s="32" t="s">
        <v>239</v>
      </c>
      <c r="R52" s="32" t="s">
        <v>324</v>
      </c>
      <c r="S52" s="32">
        <v>87</v>
      </c>
      <c r="T52" s="32" t="s">
        <v>316</v>
      </c>
      <c r="U52" s="32">
        <v>87</v>
      </c>
      <c r="V52" s="32" t="s">
        <v>316</v>
      </c>
      <c r="X52" s="32">
        <v>87</v>
      </c>
      <c r="Y52" s="32">
        <f>(CPI!$B$112/O52)*X52</f>
        <v>102.4178927866281</v>
      </c>
      <c r="Z52" s="38" t="s">
        <v>262</v>
      </c>
      <c r="AA52" s="35" t="s">
        <v>1446</v>
      </c>
      <c r="AB52" s="32">
        <v>23780</v>
      </c>
      <c r="AC52" s="32" t="s">
        <v>2441</v>
      </c>
      <c r="AF52" s="44"/>
      <c r="AG52" s="44"/>
      <c r="AH52" s="61" t="s">
        <v>411</v>
      </c>
      <c r="AJ52" s="36"/>
      <c r="AK52" s="40" t="s">
        <v>313</v>
      </c>
      <c r="AL52" s="32">
        <v>2015</v>
      </c>
      <c r="AM52" s="32" t="s">
        <v>314</v>
      </c>
      <c r="AN52" s="32" t="s">
        <v>315</v>
      </c>
      <c r="AP52" s="35" t="s">
        <v>259</v>
      </c>
    </row>
    <row r="53" spans="1:42" x14ac:dyDescent="0.2">
      <c r="A53" s="40">
        <v>3</v>
      </c>
      <c r="B53" s="40">
        <v>52</v>
      </c>
      <c r="C53" s="51" t="s">
        <v>119</v>
      </c>
      <c r="D53" s="38" t="s">
        <v>128</v>
      </c>
      <c r="E53" s="32" t="s">
        <v>2887</v>
      </c>
      <c r="F53" s="32" t="s">
        <v>121</v>
      </c>
      <c r="G53" s="38" t="s">
        <v>121</v>
      </c>
      <c r="H53" s="32" t="s">
        <v>115</v>
      </c>
      <c r="I53" s="32" t="s">
        <v>243</v>
      </c>
      <c r="J53" s="32" t="s">
        <v>261</v>
      </c>
      <c r="K53" s="32" t="s">
        <v>129</v>
      </c>
      <c r="L53" s="32" t="s">
        <v>30</v>
      </c>
      <c r="M53" s="32" t="s">
        <v>30</v>
      </c>
      <c r="N53" s="40">
        <v>2011</v>
      </c>
      <c r="O53" s="32">
        <f>VLOOKUP(Data!N178, CPI!$A$2:$B$112, 2, 0)</f>
        <v>201.6</v>
      </c>
      <c r="P53" s="32" t="s">
        <v>160</v>
      </c>
      <c r="Q53" s="32" t="s">
        <v>239</v>
      </c>
      <c r="R53" s="32" t="s">
        <v>325</v>
      </c>
      <c r="S53" s="32">
        <v>179</v>
      </c>
      <c r="T53" s="32" t="s">
        <v>316</v>
      </c>
      <c r="U53" s="32">
        <v>179</v>
      </c>
      <c r="V53" s="32" t="s">
        <v>316</v>
      </c>
      <c r="X53" s="32">
        <v>179</v>
      </c>
      <c r="Y53" s="32">
        <f>(CPI!$B$112/O53)*X53</f>
        <v>270.52151909722227</v>
      </c>
      <c r="Z53" s="38" t="s">
        <v>262</v>
      </c>
      <c r="AA53" s="35" t="s">
        <v>1446</v>
      </c>
      <c r="AB53" s="32">
        <v>23780</v>
      </c>
      <c r="AC53" s="32" t="s">
        <v>2441</v>
      </c>
      <c r="AF53" s="44"/>
      <c r="AG53" s="44"/>
      <c r="AH53" s="61" t="s">
        <v>411</v>
      </c>
      <c r="AJ53" s="36"/>
      <c r="AK53" s="40" t="s">
        <v>313</v>
      </c>
      <c r="AL53" s="32">
        <v>2015</v>
      </c>
      <c r="AM53" s="32" t="s">
        <v>314</v>
      </c>
      <c r="AN53" s="32" t="s">
        <v>315</v>
      </c>
      <c r="AP53" s="35" t="s">
        <v>259</v>
      </c>
    </row>
    <row r="54" spans="1:42" x14ac:dyDescent="0.2">
      <c r="A54" s="40">
        <v>4</v>
      </c>
      <c r="B54" s="40">
        <v>53</v>
      </c>
      <c r="C54" s="51" t="s">
        <v>149</v>
      </c>
      <c r="D54" s="38" t="s">
        <v>148</v>
      </c>
      <c r="E54" s="32" t="s">
        <v>2887</v>
      </c>
      <c r="F54" s="32" t="s">
        <v>52</v>
      </c>
      <c r="G54" s="38" t="s">
        <v>57</v>
      </c>
      <c r="H54" s="32" t="s">
        <v>115</v>
      </c>
      <c r="I54" s="32" t="s">
        <v>243</v>
      </c>
      <c r="J54" s="32" t="s">
        <v>334</v>
      </c>
      <c r="K54" s="32" t="s">
        <v>129</v>
      </c>
      <c r="L54" s="32" t="s">
        <v>30</v>
      </c>
      <c r="M54" s="32" t="s">
        <v>30</v>
      </c>
      <c r="N54" s="40">
        <v>2016</v>
      </c>
      <c r="O54" s="32">
        <f>VLOOKUP(Data!N179, CPI!$A$2:$B$112, 2, 0)</f>
        <v>201.6</v>
      </c>
      <c r="P54" s="32" t="s">
        <v>16</v>
      </c>
      <c r="Q54" s="32" t="s">
        <v>239</v>
      </c>
      <c r="R54" s="32" t="s">
        <v>330</v>
      </c>
      <c r="S54" s="32">
        <v>4.5999999999999996</v>
      </c>
      <c r="T54" s="32" t="s">
        <v>316</v>
      </c>
      <c r="U54" s="32">
        <v>4.5999999999999996</v>
      </c>
      <c r="V54" s="32" t="s">
        <v>316</v>
      </c>
      <c r="X54" s="32">
        <v>4.5999999999999996</v>
      </c>
      <c r="Y54" s="32">
        <f>(CPI!$B$112/O54)*X54</f>
        <v>6.9519496527777784</v>
      </c>
      <c r="Z54" s="38" t="s">
        <v>262</v>
      </c>
      <c r="AA54" s="35" t="s">
        <v>1446</v>
      </c>
      <c r="AB54" s="32">
        <v>1746</v>
      </c>
      <c r="AC54" s="32" t="s">
        <v>2463</v>
      </c>
      <c r="AH54" s="61" t="s">
        <v>411</v>
      </c>
      <c r="AK54" s="40" t="s">
        <v>327</v>
      </c>
      <c r="AL54" s="32">
        <v>2019</v>
      </c>
      <c r="AM54" s="32" t="s">
        <v>328</v>
      </c>
      <c r="AN54" s="32" t="s">
        <v>329</v>
      </c>
      <c r="AP54" s="35" t="s">
        <v>259</v>
      </c>
    </row>
    <row r="55" spans="1:42" x14ac:dyDescent="0.2">
      <c r="A55" s="40">
        <v>4</v>
      </c>
      <c r="B55" s="40">
        <v>54</v>
      </c>
      <c r="C55" s="51" t="s">
        <v>149</v>
      </c>
      <c r="D55" s="38" t="s">
        <v>148</v>
      </c>
      <c r="E55" s="32" t="s">
        <v>2184</v>
      </c>
      <c r="F55" s="32" t="s">
        <v>155</v>
      </c>
      <c r="G55" s="38" t="s">
        <v>28</v>
      </c>
      <c r="H55" s="32" t="s">
        <v>115</v>
      </c>
      <c r="I55" s="32" t="s">
        <v>243</v>
      </c>
      <c r="J55" s="32" t="s">
        <v>334</v>
      </c>
      <c r="K55" s="32" t="s">
        <v>129</v>
      </c>
      <c r="L55" s="32" t="s">
        <v>30</v>
      </c>
      <c r="M55" s="32" t="s">
        <v>30</v>
      </c>
      <c r="N55" s="40">
        <v>2016</v>
      </c>
      <c r="O55" s="32">
        <f>VLOOKUP(Data!N180, CPI!$A$2:$B$112, 2, 0)</f>
        <v>232.95699999999999</v>
      </c>
      <c r="P55" s="32" t="s">
        <v>16</v>
      </c>
      <c r="Q55" s="32" t="s">
        <v>239</v>
      </c>
      <c r="R55" s="32" t="s">
        <v>331</v>
      </c>
      <c r="S55" s="32">
        <v>303.88</v>
      </c>
      <c r="T55" s="32" t="s">
        <v>316</v>
      </c>
      <c r="U55" s="32">
        <v>303.88</v>
      </c>
      <c r="V55" s="32" t="s">
        <v>316</v>
      </c>
      <c r="X55" s="32">
        <v>303.88</v>
      </c>
      <c r="Y55" s="32">
        <f>(CPI!$B$112/O55)*X55</f>
        <v>397.43459432427449</v>
      </c>
      <c r="Z55" s="38" t="s">
        <v>262</v>
      </c>
      <c r="AA55" s="35" t="s">
        <v>1446</v>
      </c>
      <c r="AB55" s="32">
        <v>1746</v>
      </c>
      <c r="AC55" s="32" t="s">
        <v>2463</v>
      </c>
      <c r="AH55" s="61" t="s">
        <v>411</v>
      </c>
      <c r="AK55" s="40" t="s">
        <v>327</v>
      </c>
      <c r="AL55" s="32">
        <v>2020</v>
      </c>
      <c r="AM55" s="32" t="s">
        <v>328</v>
      </c>
      <c r="AN55" s="32" t="s">
        <v>329</v>
      </c>
      <c r="AP55" s="35" t="s">
        <v>259</v>
      </c>
    </row>
    <row r="56" spans="1:42" x14ac:dyDescent="0.2">
      <c r="A56" s="40">
        <v>4</v>
      </c>
      <c r="B56" s="40">
        <v>55</v>
      </c>
      <c r="C56" s="51" t="s">
        <v>149</v>
      </c>
      <c r="D56" s="38" t="s">
        <v>148</v>
      </c>
      <c r="E56" s="32" t="s">
        <v>2185</v>
      </c>
      <c r="F56" s="32" t="s">
        <v>2894</v>
      </c>
      <c r="G56" s="38" t="s">
        <v>142</v>
      </c>
      <c r="H56" s="32" t="s">
        <v>115</v>
      </c>
      <c r="I56" s="32" t="s">
        <v>243</v>
      </c>
      <c r="J56" s="32" t="s">
        <v>334</v>
      </c>
      <c r="K56" s="32" t="s">
        <v>129</v>
      </c>
      <c r="L56" s="32" t="s">
        <v>30</v>
      </c>
      <c r="M56" s="32" t="s">
        <v>30</v>
      </c>
      <c r="N56" s="40">
        <v>2016</v>
      </c>
      <c r="O56" s="32">
        <f>VLOOKUP(Data!N181, CPI!$A$2:$B$112, 2, 0)</f>
        <v>232.95699999999999</v>
      </c>
      <c r="P56" s="32" t="s">
        <v>16</v>
      </c>
      <c r="Q56" s="32" t="s">
        <v>239</v>
      </c>
      <c r="R56" s="32" t="s">
        <v>332</v>
      </c>
      <c r="S56" s="32">
        <v>674.51</v>
      </c>
      <c r="T56" s="32" t="s">
        <v>316</v>
      </c>
      <c r="U56" s="32">
        <v>674.51</v>
      </c>
      <c r="V56" s="32" t="s">
        <v>316</v>
      </c>
      <c r="X56" s="32">
        <v>674.51</v>
      </c>
      <c r="Y56" s="32">
        <f>(CPI!$B$112/O56)*X56</f>
        <v>882.16930438879285</v>
      </c>
      <c r="Z56" s="38" t="s">
        <v>262</v>
      </c>
      <c r="AA56" s="35" t="s">
        <v>1446</v>
      </c>
      <c r="AB56" s="32">
        <v>1746</v>
      </c>
      <c r="AC56" s="32" t="s">
        <v>2463</v>
      </c>
      <c r="AH56" s="61" t="s">
        <v>411</v>
      </c>
      <c r="AK56" s="40" t="s">
        <v>327</v>
      </c>
      <c r="AL56" s="32">
        <v>2021</v>
      </c>
      <c r="AM56" s="32" t="s">
        <v>328</v>
      </c>
      <c r="AN56" s="32" t="s">
        <v>329</v>
      </c>
      <c r="AP56" s="35" t="s">
        <v>259</v>
      </c>
    </row>
    <row r="57" spans="1:42" x14ac:dyDescent="0.2">
      <c r="A57" s="40">
        <v>4</v>
      </c>
      <c r="B57" s="40">
        <v>56</v>
      </c>
      <c r="C57" s="51" t="s">
        <v>149</v>
      </c>
      <c r="D57" s="38" t="s">
        <v>148</v>
      </c>
      <c r="E57" s="32" t="s">
        <v>2185</v>
      </c>
      <c r="F57" s="32" t="s">
        <v>2893</v>
      </c>
      <c r="G57" s="38" t="s">
        <v>158</v>
      </c>
      <c r="H57" s="32" t="s">
        <v>115</v>
      </c>
      <c r="I57" s="32" t="s">
        <v>243</v>
      </c>
      <c r="J57" s="32" t="s">
        <v>334</v>
      </c>
      <c r="K57" s="32" t="s">
        <v>129</v>
      </c>
      <c r="L57" s="32" t="s">
        <v>30</v>
      </c>
      <c r="M57" s="32" t="s">
        <v>30</v>
      </c>
      <c r="N57" s="40">
        <v>2016</v>
      </c>
      <c r="O57" s="32">
        <f>VLOOKUP(Data!N182, CPI!$A$2:$B$112, 2, 0)</f>
        <v>232.95699999999999</v>
      </c>
      <c r="P57" s="32" t="s">
        <v>16</v>
      </c>
      <c r="Q57" s="32" t="s">
        <v>239</v>
      </c>
      <c r="R57" s="32" t="s">
        <v>333</v>
      </c>
      <c r="S57" s="32">
        <v>164.22</v>
      </c>
      <c r="T57" s="32" t="s">
        <v>316</v>
      </c>
      <c r="U57" s="32">
        <v>164.22</v>
      </c>
      <c r="V57" s="32" t="s">
        <v>316</v>
      </c>
      <c r="X57" s="32">
        <v>164.22</v>
      </c>
      <c r="Y57" s="32">
        <f>(CPI!$B$112/O57)*X57</f>
        <v>214.77790272453717</v>
      </c>
      <c r="Z57" s="38" t="s">
        <v>262</v>
      </c>
      <c r="AA57" s="35" t="s">
        <v>1446</v>
      </c>
      <c r="AB57" s="32">
        <v>1746</v>
      </c>
      <c r="AC57" s="32" t="s">
        <v>2463</v>
      </c>
      <c r="AH57" s="61" t="s">
        <v>411</v>
      </c>
      <c r="AK57" s="40" t="s">
        <v>327</v>
      </c>
      <c r="AL57" s="32">
        <v>2022</v>
      </c>
      <c r="AM57" s="32" t="s">
        <v>328</v>
      </c>
      <c r="AN57" s="32" t="s">
        <v>329</v>
      </c>
      <c r="AP57" s="35" t="s">
        <v>259</v>
      </c>
    </row>
    <row r="58" spans="1:42" x14ac:dyDescent="0.2">
      <c r="A58" s="40">
        <v>4</v>
      </c>
      <c r="B58" s="40">
        <v>57</v>
      </c>
      <c r="C58" s="51" t="s">
        <v>149</v>
      </c>
      <c r="D58" s="38" t="s">
        <v>148</v>
      </c>
      <c r="E58" s="32" t="s">
        <v>2186</v>
      </c>
      <c r="F58" s="32" t="s">
        <v>29</v>
      </c>
      <c r="G58" s="38" t="s">
        <v>29</v>
      </c>
      <c r="H58" s="32" t="s">
        <v>115</v>
      </c>
      <c r="I58" s="32" t="s">
        <v>243</v>
      </c>
      <c r="J58" s="32" t="s">
        <v>334</v>
      </c>
      <c r="K58" s="32" t="s">
        <v>129</v>
      </c>
      <c r="L58" s="32" t="s">
        <v>30</v>
      </c>
      <c r="M58" s="32" t="s">
        <v>30</v>
      </c>
      <c r="N58" s="40">
        <v>2016</v>
      </c>
      <c r="O58" s="32">
        <f>VLOOKUP(Data!N183, CPI!$A$2:$B$112, 2, 0)</f>
        <v>232.95699999999999</v>
      </c>
      <c r="P58" s="32" t="s">
        <v>16</v>
      </c>
      <c r="Q58" s="32" t="s">
        <v>239</v>
      </c>
      <c r="R58" s="32" t="s">
        <v>2464</v>
      </c>
      <c r="S58" s="32">
        <v>1147.21</v>
      </c>
      <c r="T58" s="32" t="s">
        <v>316</v>
      </c>
      <c r="U58" s="32">
        <v>1147.21</v>
      </c>
      <c r="V58" s="32" t="s">
        <v>316</v>
      </c>
      <c r="X58" s="32">
        <v>1147.21</v>
      </c>
      <c r="Y58" s="32">
        <f>(CPI!$B$112/O58)*X58</f>
        <v>1500.3979891889921</v>
      </c>
      <c r="Z58" s="38" t="s">
        <v>262</v>
      </c>
      <c r="AA58" s="35" t="s">
        <v>1446</v>
      </c>
      <c r="AB58" s="32">
        <v>1746</v>
      </c>
      <c r="AC58" s="32" t="s">
        <v>2463</v>
      </c>
      <c r="AH58" s="61" t="s">
        <v>411</v>
      </c>
      <c r="AK58" s="40" t="s">
        <v>327</v>
      </c>
      <c r="AL58" s="32">
        <v>2022</v>
      </c>
      <c r="AM58" s="32" t="s">
        <v>328</v>
      </c>
      <c r="AN58" s="32" t="s">
        <v>329</v>
      </c>
      <c r="AP58" s="35" t="s">
        <v>259</v>
      </c>
    </row>
    <row r="59" spans="1:42" x14ac:dyDescent="0.2">
      <c r="A59" s="40">
        <v>5</v>
      </c>
      <c r="B59" s="40">
        <v>58</v>
      </c>
      <c r="C59" s="40" t="s">
        <v>149</v>
      </c>
      <c r="D59" s="38" t="s">
        <v>148</v>
      </c>
      <c r="E59" s="32" t="s">
        <v>2887</v>
      </c>
      <c r="F59" s="32" t="s">
        <v>121</v>
      </c>
      <c r="G59" s="38" t="s">
        <v>159</v>
      </c>
      <c r="H59" s="32" t="s">
        <v>115</v>
      </c>
      <c r="I59" s="32" t="s">
        <v>231</v>
      </c>
      <c r="J59" s="32" t="s">
        <v>368</v>
      </c>
      <c r="K59" s="32" t="s">
        <v>129</v>
      </c>
      <c r="L59" s="32" t="s">
        <v>30</v>
      </c>
      <c r="M59" s="32" t="s">
        <v>30</v>
      </c>
      <c r="N59" s="40">
        <v>2013</v>
      </c>
      <c r="O59" s="32">
        <f>VLOOKUP(Data!N184, CPI!$A$2:$B$112, 2, 0)</f>
        <v>232.95699999999999</v>
      </c>
      <c r="P59" s="32" t="s">
        <v>238</v>
      </c>
      <c r="Q59" s="32" t="s">
        <v>239</v>
      </c>
      <c r="R59" s="32" t="s">
        <v>2473</v>
      </c>
      <c r="S59" s="32">
        <v>25.4</v>
      </c>
      <c r="T59" s="32" t="s">
        <v>316</v>
      </c>
      <c r="U59" s="32">
        <v>25.4</v>
      </c>
      <c r="V59" s="32" t="s">
        <v>316</v>
      </c>
      <c r="X59" s="32">
        <v>25.4</v>
      </c>
      <c r="Y59" s="32">
        <f>(CPI!$B$112/O59)*X59</f>
        <v>33.219819322879331</v>
      </c>
      <c r="Z59" s="38" t="s">
        <v>262</v>
      </c>
      <c r="AA59" s="35" t="s">
        <v>1447</v>
      </c>
      <c r="AB59" s="32">
        <v>163600</v>
      </c>
      <c r="AC59" s="32" t="s">
        <v>2484</v>
      </c>
      <c r="AH59" s="61" t="s">
        <v>411</v>
      </c>
      <c r="AK59" s="40" t="s">
        <v>335</v>
      </c>
      <c r="AL59" s="32">
        <v>2017</v>
      </c>
      <c r="AM59" s="32" t="s">
        <v>336</v>
      </c>
      <c r="AN59" s="32" t="s">
        <v>337</v>
      </c>
      <c r="AP59" s="35" t="s">
        <v>259</v>
      </c>
    </row>
    <row r="60" spans="1:42" x14ac:dyDescent="0.2">
      <c r="A60" s="40">
        <v>5</v>
      </c>
      <c r="B60" s="40">
        <v>59</v>
      </c>
      <c r="C60" s="40" t="s">
        <v>149</v>
      </c>
      <c r="D60" s="38" t="s">
        <v>148</v>
      </c>
      <c r="E60" s="32" t="s">
        <v>2184</v>
      </c>
      <c r="F60" s="32" t="s">
        <v>155</v>
      </c>
      <c r="G60" s="38" t="s">
        <v>28</v>
      </c>
      <c r="H60" s="32" t="s">
        <v>115</v>
      </c>
      <c r="I60" s="32" t="s">
        <v>231</v>
      </c>
      <c r="J60" s="32" t="s">
        <v>368</v>
      </c>
      <c r="K60" s="32" t="s">
        <v>129</v>
      </c>
      <c r="L60" s="32" t="s">
        <v>30</v>
      </c>
      <c r="M60" s="32" t="s">
        <v>30</v>
      </c>
      <c r="N60" s="40">
        <v>2013</v>
      </c>
      <c r="O60" s="32">
        <f>VLOOKUP(Data!N185, CPI!$A$2:$B$112, 2, 0)</f>
        <v>232.95699999999999</v>
      </c>
      <c r="P60" s="32" t="s">
        <v>245</v>
      </c>
      <c r="Q60" s="32" t="s">
        <v>239</v>
      </c>
      <c r="R60" s="32" t="s">
        <v>2474</v>
      </c>
      <c r="S60" s="32">
        <v>855.4</v>
      </c>
      <c r="T60" s="32" t="s">
        <v>316</v>
      </c>
      <c r="U60" s="32">
        <v>855.4</v>
      </c>
      <c r="V60" s="32" t="s">
        <v>316</v>
      </c>
      <c r="X60" s="32">
        <v>855.4</v>
      </c>
      <c r="Y60" s="32">
        <f>(CPI!$B$112/O60)*X60</f>
        <v>1118.7493483775977</v>
      </c>
      <c r="Z60" s="38" t="s">
        <v>262</v>
      </c>
      <c r="AA60" s="35" t="s">
        <v>1447</v>
      </c>
      <c r="AB60" s="32">
        <v>163600</v>
      </c>
      <c r="AC60" s="32" t="s">
        <v>2484</v>
      </c>
      <c r="AH60" s="61" t="s">
        <v>411</v>
      </c>
      <c r="AK60" s="40" t="s">
        <v>335</v>
      </c>
      <c r="AL60" s="32">
        <v>2017</v>
      </c>
      <c r="AM60" s="32" t="s">
        <v>336</v>
      </c>
      <c r="AN60" s="32" t="s">
        <v>337</v>
      </c>
      <c r="AP60" s="35" t="s">
        <v>259</v>
      </c>
    </row>
    <row r="61" spans="1:42" x14ac:dyDescent="0.2">
      <c r="A61" s="40">
        <v>5</v>
      </c>
      <c r="B61" s="40">
        <v>60</v>
      </c>
      <c r="C61" s="40" t="s">
        <v>149</v>
      </c>
      <c r="D61" s="38" t="s">
        <v>148</v>
      </c>
      <c r="E61" s="32" t="s">
        <v>2183</v>
      </c>
      <c r="F61" s="32" t="s">
        <v>237</v>
      </c>
      <c r="G61" s="36" t="s">
        <v>2907</v>
      </c>
      <c r="H61" s="32" t="s">
        <v>115</v>
      </c>
      <c r="I61" s="32" t="s">
        <v>231</v>
      </c>
      <c r="J61" s="32" t="s">
        <v>368</v>
      </c>
      <c r="K61" s="32" t="s">
        <v>129</v>
      </c>
      <c r="L61" s="32" t="s">
        <v>30</v>
      </c>
      <c r="M61" s="32" t="s">
        <v>30</v>
      </c>
      <c r="N61" s="40">
        <v>2013</v>
      </c>
      <c r="O61" s="32">
        <f>VLOOKUP(Data!N186, CPI!$A$2:$B$112, 2, 0)</f>
        <v>232.95699999999999</v>
      </c>
      <c r="P61" s="32" t="s">
        <v>238</v>
      </c>
      <c r="Q61" s="32" t="s">
        <v>239</v>
      </c>
      <c r="R61" s="32" t="s">
        <v>2475</v>
      </c>
      <c r="S61" s="32">
        <v>0.3</v>
      </c>
      <c r="T61" s="32" t="s">
        <v>316</v>
      </c>
      <c r="U61" s="32">
        <v>0.3</v>
      </c>
      <c r="V61" s="32" t="s">
        <v>316</v>
      </c>
      <c r="X61" s="32">
        <v>0.3</v>
      </c>
      <c r="Y61" s="32">
        <f>(CPI!$B$112/O61)*X61</f>
        <v>0.39236007074266926</v>
      </c>
      <c r="Z61" s="38" t="s">
        <v>262</v>
      </c>
      <c r="AA61" s="35" t="s">
        <v>1447</v>
      </c>
      <c r="AB61" s="32">
        <v>163600</v>
      </c>
      <c r="AC61" s="32" t="s">
        <v>2484</v>
      </c>
      <c r="AH61" s="61" t="s">
        <v>411</v>
      </c>
      <c r="AK61" s="40" t="s">
        <v>335</v>
      </c>
      <c r="AL61" s="32">
        <v>2017</v>
      </c>
      <c r="AM61" s="32" t="s">
        <v>336</v>
      </c>
      <c r="AN61" s="32" t="s">
        <v>337</v>
      </c>
      <c r="AP61" s="35" t="s">
        <v>259</v>
      </c>
    </row>
    <row r="62" spans="1:42" x14ac:dyDescent="0.2">
      <c r="A62" s="40">
        <v>5</v>
      </c>
      <c r="B62" s="40">
        <v>61</v>
      </c>
      <c r="C62" s="40" t="s">
        <v>149</v>
      </c>
      <c r="D62" s="38" t="s">
        <v>148</v>
      </c>
      <c r="E62" s="32" t="s">
        <v>2183</v>
      </c>
      <c r="F62" s="32" t="s">
        <v>126</v>
      </c>
      <c r="G62" s="38" t="s">
        <v>60</v>
      </c>
      <c r="H62" s="32" t="s">
        <v>115</v>
      </c>
      <c r="I62" s="32" t="s">
        <v>231</v>
      </c>
      <c r="J62" s="32" t="s">
        <v>368</v>
      </c>
      <c r="K62" s="32" t="s">
        <v>129</v>
      </c>
      <c r="L62" s="32" t="s">
        <v>30</v>
      </c>
      <c r="M62" s="32" t="s">
        <v>30</v>
      </c>
      <c r="N62" s="40">
        <v>2013</v>
      </c>
      <c r="O62" s="32">
        <f>VLOOKUP(Data!N187, CPI!$A$2:$B$112, 2, 0)</f>
        <v>232.95699999999999</v>
      </c>
      <c r="P62" s="32" t="s">
        <v>238</v>
      </c>
      <c r="Q62" s="32" t="s">
        <v>239</v>
      </c>
      <c r="R62" s="32" t="s">
        <v>2476</v>
      </c>
      <c r="S62" s="32">
        <v>125.4</v>
      </c>
      <c r="T62" s="32" t="s">
        <v>316</v>
      </c>
      <c r="U62" s="32">
        <v>125.4</v>
      </c>
      <c r="V62" s="32" t="s">
        <v>316</v>
      </c>
      <c r="X62" s="32">
        <v>125.4</v>
      </c>
      <c r="Y62" s="32">
        <f>(CPI!$B$112/O62)*X62</f>
        <v>164.00650957043575</v>
      </c>
      <c r="Z62" s="38" t="s">
        <v>262</v>
      </c>
      <c r="AA62" s="35" t="s">
        <v>1447</v>
      </c>
      <c r="AB62" s="32">
        <v>163600</v>
      </c>
      <c r="AC62" s="32" t="s">
        <v>2484</v>
      </c>
      <c r="AH62" s="61" t="s">
        <v>411</v>
      </c>
      <c r="AK62" s="40" t="s">
        <v>335</v>
      </c>
      <c r="AL62" s="32">
        <v>2017</v>
      </c>
      <c r="AM62" s="32" t="s">
        <v>336</v>
      </c>
      <c r="AN62" s="32" t="s">
        <v>337</v>
      </c>
      <c r="AP62" s="35" t="s">
        <v>259</v>
      </c>
    </row>
    <row r="63" spans="1:42" x14ac:dyDescent="0.2">
      <c r="A63" s="40">
        <v>5</v>
      </c>
      <c r="B63" s="40">
        <v>62</v>
      </c>
      <c r="C63" s="40" t="s">
        <v>149</v>
      </c>
      <c r="D63" s="38" t="s">
        <v>148</v>
      </c>
      <c r="E63" s="32" t="s">
        <v>2183</v>
      </c>
      <c r="F63" s="32" t="s">
        <v>237</v>
      </c>
      <c r="G63" s="38" t="s">
        <v>154</v>
      </c>
      <c r="H63" s="32" t="s">
        <v>115</v>
      </c>
      <c r="I63" s="32" t="s">
        <v>231</v>
      </c>
      <c r="J63" s="32" t="s">
        <v>368</v>
      </c>
      <c r="K63" s="32" t="s">
        <v>129</v>
      </c>
      <c r="L63" s="32" t="s">
        <v>30</v>
      </c>
      <c r="M63" s="32" t="s">
        <v>30</v>
      </c>
      <c r="N63" s="40">
        <v>2013</v>
      </c>
      <c r="O63" s="32">
        <f>VLOOKUP(Data!N188, CPI!$A$2:$B$112, 2, 0)</f>
        <v>232.95699999999999</v>
      </c>
      <c r="P63" s="32" t="s">
        <v>238</v>
      </c>
      <c r="Q63" s="32" t="s">
        <v>239</v>
      </c>
      <c r="R63" s="32" t="s">
        <v>2477</v>
      </c>
      <c r="S63" s="32">
        <v>74.900000000000006</v>
      </c>
      <c r="T63" s="32" t="s">
        <v>316</v>
      </c>
      <c r="U63" s="32">
        <v>74.900000000000006</v>
      </c>
      <c r="V63" s="32" t="s">
        <v>316</v>
      </c>
      <c r="X63" s="32">
        <v>74.900000000000006</v>
      </c>
      <c r="Y63" s="32">
        <f>(CPI!$B$112/O63)*X63</f>
        <v>97.959230995419773</v>
      </c>
      <c r="Z63" s="38" t="s">
        <v>262</v>
      </c>
      <c r="AA63" s="35" t="s">
        <v>1447</v>
      </c>
      <c r="AB63" s="32">
        <v>163600</v>
      </c>
      <c r="AC63" s="32" t="s">
        <v>2484</v>
      </c>
      <c r="AH63" s="61" t="s">
        <v>411</v>
      </c>
      <c r="AK63" s="40" t="s">
        <v>335</v>
      </c>
      <c r="AL63" s="32">
        <v>2017</v>
      </c>
      <c r="AM63" s="32" t="s">
        <v>336</v>
      </c>
      <c r="AN63" s="32" t="s">
        <v>337</v>
      </c>
      <c r="AP63" s="35" t="s">
        <v>259</v>
      </c>
    </row>
    <row r="64" spans="1:42" x14ac:dyDescent="0.2">
      <c r="A64" s="40">
        <v>5</v>
      </c>
      <c r="B64" s="40">
        <v>63</v>
      </c>
      <c r="C64" s="40" t="s">
        <v>149</v>
      </c>
      <c r="D64" s="38" t="s">
        <v>148</v>
      </c>
      <c r="E64" s="32" t="s">
        <v>2183</v>
      </c>
      <c r="F64" s="32" t="s">
        <v>126</v>
      </c>
      <c r="G64" s="38" t="s">
        <v>60</v>
      </c>
      <c r="H64" s="32" t="s">
        <v>115</v>
      </c>
      <c r="I64" s="32" t="s">
        <v>231</v>
      </c>
      <c r="J64" s="32" t="s">
        <v>368</v>
      </c>
      <c r="K64" s="32" t="s">
        <v>129</v>
      </c>
      <c r="L64" s="32" t="s">
        <v>30</v>
      </c>
      <c r="M64" s="32" t="s">
        <v>30</v>
      </c>
      <c r="N64" s="40">
        <v>2013</v>
      </c>
      <c r="O64" s="32">
        <f>VLOOKUP(Data!N189, CPI!$A$2:$B$112, 2, 0)</f>
        <v>232.95699999999999</v>
      </c>
      <c r="P64" s="32" t="s">
        <v>238</v>
      </c>
      <c r="Q64" s="32" t="s">
        <v>239</v>
      </c>
      <c r="R64" s="32" t="s">
        <v>2478</v>
      </c>
      <c r="S64" s="32">
        <v>13.5</v>
      </c>
      <c r="T64" s="32" t="s">
        <v>316</v>
      </c>
      <c r="U64" s="32">
        <v>13.5</v>
      </c>
      <c r="V64" s="32" t="s">
        <v>316</v>
      </c>
      <c r="X64" s="32">
        <v>13.5</v>
      </c>
      <c r="Y64" s="32">
        <f>(CPI!$B$112/O64)*X64</f>
        <v>17.656203183420118</v>
      </c>
      <c r="Z64" s="38" t="s">
        <v>262</v>
      </c>
      <c r="AA64" s="35" t="s">
        <v>1447</v>
      </c>
      <c r="AB64" s="32">
        <v>163600</v>
      </c>
      <c r="AC64" s="32" t="s">
        <v>2484</v>
      </c>
      <c r="AH64" s="61" t="s">
        <v>411</v>
      </c>
      <c r="AK64" s="40" t="s">
        <v>335</v>
      </c>
      <c r="AL64" s="32">
        <v>2017</v>
      </c>
      <c r="AM64" s="32" t="s">
        <v>336</v>
      </c>
      <c r="AN64" s="32" t="s">
        <v>337</v>
      </c>
      <c r="AP64" s="35" t="s">
        <v>259</v>
      </c>
    </row>
    <row r="65" spans="1:42" x14ac:dyDescent="0.2">
      <c r="A65" s="40">
        <v>5</v>
      </c>
      <c r="B65" s="40">
        <v>64</v>
      </c>
      <c r="C65" s="40" t="s">
        <v>149</v>
      </c>
      <c r="D65" s="38" t="s">
        <v>148</v>
      </c>
      <c r="E65" s="32" t="s">
        <v>2183</v>
      </c>
      <c r="F65" s="32" t="s">
        <v>140</v>
      </c>
      <c r="G65" s="38" t="s">
        <v>2160</v>
      </c>
      <c r="H65" s="32" t="s">
        <v>115</v>
      </c>
      <c r="I65" s="32" t="s">
        <v>231</v>
      </c>
      <c r="J65" s="32" t="s">
        <v>368</v>
      </c>
      <c r="K65" s="32" t="s">
        <v>129</v>
      </c>
      <c r="L65" s="32" t="s">
        <v>30</v>
      </c>
      <c r="M65" s="32" t="s">
        <v>30</v>
      </c>
      <c r="N65" s="40">
        <v>2013</v>
      </c>
      <c r="O65" s="32">
        <f>VLOOKUP(Data!N190, CPI!$A$2:$B$112, 2, 0)</f>
        <v>232.95699999999999</v>
      </c>
      <c r="P65" s="32" t="s">
        <v>238</v>
      </c>
      <c r="Q65" s="32" t="s">
        <v>239</v>
      </c>
      <c r="R65" s="32" t="s">
        <v>2479</v>
      </c>
      <c r="S65" s="32">
        <v>13.1</v>
      </c>
      <c r="T65" s="32" t="s">
        <v>316</v>
      </c>
      <c r="U65" s="32">
        <v>13.1</v>
      </c>
      <c r="V65" s="32" t="s">
        <v>316</v>
      </c>
      <c r="X65" s="32">
        <v>13.1</v>
      </c>
      <c r="Y65" s="32">
        <f>(CPI!$B$112/O65)*X65</f>
        <v>17.133056422429892</v>
      </c>
      <c r="Z65" s="38" t="s">
        <v>262</v>
      </c>
      <c r="AA65" s="35" t="s">
        <v>1447</v>
      </c>
      <c r="AB65" s="32">
        <v>163600</v>
      </c>
      <c r="AC65" s="32" t="s">
        <v>2484</v>
      </c>
      <c r="AH65" s="61" t="s">
        <v>411</v>
      </c>
      <c r="AK65" s="40" t="s">
        <v>335</v>
      </c>
      <c r="AL65" s="32">
        <v>2017</v>
      </c>
      <c r="AM65" s="32" t="s">
        <v>336</v>
      </c>
      <c r="AN65" s="32" t="s">
        <v>337</v>
      </c>
      <c r="AP65" s="35" t="s">
        <v>259</v>
      </c>
    </row>
    <row r="66" spans="1:42" x14ac:dyDescent="0.2">
      <c r="A66" s="40">
        <v>5</v>
      </c>
      <c r="B66" s="40">
        <v>65</v>
      </c>
      <c r="C66" s="40" t="s">
        <v>149</v>
      </c>
      <c r="D66" s="38" t="s">
        <v>148</v>
      </c>
      <c r="E66" s="32" t="s">
        <v>2183</v>
      </c>
      <c r="F66" s="32" t="s">
        <v>126</v>
      </c>
      <c r="G66" s="38" t="s">
        <v>152</v>
      </c>
      <c r="H66" s="32" t="s">
        <v>115</v>
      </c>
      <c r="I66" s="32" t="s">
        <v>231</v>
      </c>
      <c r="J66" s="32" t="s">
        <v>368</v>
      </c>
      <c r="K66" s="32" t="s">
        <v>129</v>
      </c>
      <c r="L66" s="32" t="s">
        <v>30</v>
      </c>
      <c r="M66" s="32" t="s">
        <v>30</v>
      </c>
      <c r="N66" s="40">
        <v>2013</v>
      </c>
      <c r="O66" s="32">
        <f>VLOOKUP(Data!N191, CPI!$A$2:$B$112, 2, 0)</f>
        <v>232.95699999999999</v>
      </c>
      <c r="P66" s="32" t="s">
        <v>238</v>
      </c>
      <c r="Q66" s="32" t="s">
        <v>239</v>
      </c>
      <c r="R66" s="32" t="s">
        <v>2480</v>
      </c>
      <c r="S66" s="32">
        <v>9.8000000000000007</v>
      </c>
      <c r="T66" s="32" t="s">
        <v>316</v>
      </c>
      <c r="U66" s="32">
        <v>9.8000000000000007</v>
      </c>
      <c r="V66" s="32" t="s">
        <v>316</v>
      </c>
      <c r="X66" s="32">
        <v>9.8000000000000007</v>
      </c>
      <c r="Y66" s="32">
        <f>(CPI!$B$112/O66)*X66</f>
        <v>12.817095644260531</v>
      </c>
      <c r="Z66" s="38" t="s">
        <v>262</v>
      </c>
      <c r="AA66" s="35" t="s">
        <v>1447</v>
      </c>
      <c r="AB66" s="32">
        <v>163600</v>
      </c>
      <c r="AC66" s="32" t="s">
        <v>2484</v>
      </c>
      <c r="AH66" s="61" t="s">
        <v>411</v>
      </c>
      <c r="AK66" s="40" t="s">
        <v>335</v>
      </c>
      <c r="AL66" s="32">
        <v>2017</v>
      </c>
      <c r="AM66" s="32" t="s">
        <v>336</v>
      </c>
      <c r="AN66" s="32" t="s">
        <v>337</v>
      </c>
      <c r="AP66" s="35" t="s">
        <v>259</v>
      </c>
    </row>
    <row r="67" spans="1:42" x14ac:dyDescent="0.2">
      <c r="A67" s="40">
        <v>5</v>
      </c>
      <c r="B67" s="40">
        <v>66</v>
      </c>
      <c r="C67" s="40" t="s">
        <v>149</v>
      </c>
      <c r="D67" s="38" t="s">
        <v>148</v>
      </c>
      <c r="E67" s="32" t="s">
        <v>2183</v>
      </c>
      <c r="F67" s="32" t="s">
        <v>126</v>
      </c>
      <c r="G67" s="38" t="s">
        <v>153</v>
      </c>
      <c r="H67" s="32" t="s">
        <v>115</v>
      </c>
      <c r="I67" s="32" t="s">
        <v>231</v>
      </c>
      <c r="J67" s="32" t="s">
        <v>368</v>
      </c>
      <c r="K67" s="32" t="s">
        <v>129</v>
      </c>
      <c r="L67" s="32" t="s">
        <v>30</v>
      </c>
      <c r="M67" s="32" t="s">
        <v>30</v>
      </c>
      <c r="N67" s="40">
        <v>2013</v>
      </c>
      <c r="O67" s="32">
        <f>VLOOKUP(Data!N192, CPI!$A$2:$B$112, 2, 0)</f>
        <v>232.95699999999999</v>
      </c>
      <c r="P67" s="32" t="s">
        <v>238</v>
      </c>
      <c r="Q67" s="32" t="s">
        <v>239</v>
      </c>
      <c r="R67" s="32" t="s">
        <v>2481</v>
      </c>
      <c r="S67" s="32">
        <v>25.8</v>
      </c>
      <c r="T67" s="32" t="s">
        <v>316</v>
      </c>
      <c r="U67" s="32">
        <v>25.8</v>
      </c>
      <c r="V67" s="32" t="s">
        <v>316</v>
      </c>
      <c r="X67" s="32">
        <v>25.8</v>
      </c>
      <c r="Y67" s="32">
        <f>(CPI!$B$112/O67)*X67</f>
        <v>33.742966083869561</v>
      </c>
      <c r="Z67" s="38" t="s">
        <v>262</v>
      </c>
      <c r="AA67" s="35" t="s">
        <v>1447</v>
      </c>
      <c r="AB67" s="32">
        <v>163600</v>
      </c>
      <c r="AC67" s="32" t="s">
        <v>2484</v>
      </c>
      <c r="AH67" s="61" t="s">
        <v>411</v>
      </c>
      <c r="AK67" s="40" t="s">
        <v>335</v>
      </c>
      <c r="AL67" s="32">
        <v>2017</v>
      </c>
      <c r="AM67" s="32" t="s">
        <v>336</v>
      </c>
      <c r="AN67" s="32" t="s">
        <v>337</v>
      </c>
      <c r="AP67" s="35" t="s">
        <v>259</v>
      </c>
    </row>
    <row r="68" spans="1:42" x14ac:dyDescent="0.2">
      <c r="A68" s="40">
        <v>5</v>
      </c>
      <c r="B68" s="40">
        <v>67</v>
      </c>
      <c r="C68" s="40" t="s">
        <v>149</v>
      </c>
      <c r="D68" s="38" t="s">
        <v>148</v>
      </c>
      <c r="E68" s="32" t="s">
        <v>2184</v>
      </c>
      <c r="F68" s="32" t="s">
        <v>155</v>
      </c>
      <c r="G68" s="38" t="s">
        <v>28</v>
      </c>
      <c r="H68" s="32" t="s">
        <v>115</v>
      </c>
      <c r="I68" s="32" t="s">
        <v>231</v>
      </c>
      <c r="J68" s="32" t="s">
        <v>368</v>
      </c>
      <c r="K68" s="32" t="s">
        <v>129</v>
      </c>
      <c r="L68" s="32" t="s">
        <v>30</v>
      </c>
      <c r="M68" s="32" t="s">
        <v>30</v>
      </c>
      <c r="N68" s="40">
        <v>2013</v>
      </c>
      <c r="O68" s="32">
        <f>VLOOKUP(Data!N193, CPI!$A$2:$B$112, 2, 0)</f>
        <v>232.95699999999999</v>
      </c>
      <c r="P68" s="32" t="s">
        <v>245</v>
      </c>
      <c r="Q68" s="32" t="s">
        <v>239</v>
      </c>
      <c r="R68" s="32" t="s">
        <v>2465</v>
      </c>
      <c r="S68" s="32">
        <v>717.3</v>
      </c>
      <c r="T68" s="32" t="s">
        <v>316</v>
      </c>
      <c r="U68" s="32">
        <v>717.3</v>
      </c>
      <c r="V68" s="32" t="s">
        <v>316</v>
      </c>
      <c r="X68" s="32">
        <v>717.3</v>
      </c>
      <c r="Y68" s="32">
        <f>(CPI!$B$112/O68)*X68</f>
        <v>938.13292914572219</v>
      </c>
      <c r="Z68" s="38" t="s">
        <v>262</v>
      </c>
      <c r="AA68" s="35" t="s">
        <v>1447</v>
      </c>
      <c r="AB68" s="32">
        <v>163600</v>
      </c>
      <c r="AC68" s="32" t="s">
        <v>2484</v>
      </c>
      <c r="AH68" s="61" t="s">
        <v>411</v>
      </c>
      <c r="AK68" s="40" t="s">
        <v>335</v>
      </c>
      <c r="AL68" s="32">
        <v>2017</v>
      </c>
      <c r="AM68" s="32" t="s">
        <v>336</v>
      </c>
      <c r="AN68" s="32" t="s">
        <v>337</v>
      </c>
      <c r="AP68" s="35" t="s">
        <v>259</v>
      </c>
    </row>
    <row r="69" spans="1:42" x14ac:dyDescent="0.2">
      <c r="A69" s="40">
        <v>5</v>
      </c>
      <c r="B69" s="40">
        <v>68</v>
      </c>
      <c r="C69" s="40" t="s">
        <v>149</v>
      </c>
      <c r="D69" s="38" t="s">
        <v>148</v>
      </c>
      <c r="E69" s="32" t="s">
        <v>2183</v>
      </c>
      <c r="F69" s="32" t="s">
        <v>237</v>
      </c>
      <c r="G69" s="36" t="s">
        <v>2907</v>
      </c>
      <c r="H69" s="32" t="s">
        <v>115</v>
      </c>
      <c r="I69" s="32" t="s">
        <v>231</v>
      </c>
      <c r="J69" s="32" t="s">
        <v>368</v>
      </c>
      <c r="K69" s="32" t="s">
        <v>129</v>
      </c>
      <c r="L69" s="32" t="s">
        <v>30</v>
      </c>
      <c r="M69" s="32" t="s">
        <v>30</v>
      </c>
      <c r="N69" s="40">
        <v>2013</v>
      </c>
      <c r="O69" s="32">
        <f>VLOOKUP(Data!N194, CPI!$A$2:$B$112, 2, 0)</f>
        <v>232.95699999999999</v>
      </c>
      <c r="P69" s="32" t="s">
        <v>238</v>
      </c>
      <c r="Q69" s="32" t="s">
        <v>239</v>
      </c>
      <c r="R69" s="32" t="s">
        <v>2472</v>
      </c>
      <c r="S69" s="32">
        <v>0.3</v>
      </c>
      <c r="T69" s="32" t="s">
        <v>316</v>
      </c>
      <c r="U69" s="32">
        <v>0.3</v>
      </c>
      <c r="V69" s="32" t="s">
        <v>316</v>
      </c>
      <c r="X69" s="32">
        <v>0.3</v>
      </c>
      <c r="Y69" s="32">
        <f>(CPI!$B$112/O69)*X69</f>
        <v>0.39236007074266926</v>
      </c>
      <c r="Z69" s="38" t="s">
        <v>262</v>
      </c>
      <c r="AA69" s="35" t="s">
        <v>1447</v>
      </c>
      <c r="AB69" s="32">
        <v>163600</v>
      </c>
      <c r="AC69" s="32" t="s">
        <v>2484</v>
      </c>
      <c r="AH69" s="61" t="s">
        <v>411</v>
      </c>
      <c r="AK69" s="40" t="s">
        <v>335</v>
      </c>
      <c r="AL69" s="32">
        <v>2017</v>
      </c>
      <c r="AM69" s="32" t="s">
        <v>336</v>
      </c>
      <c r="AN69" s="32" t="s">
        <v>337</v>
      </c>
      <c r="AP69" s="35" t="s">
        <v>259</v>
      </c>
    </row>
    <row r="70" spans="1:42" x14ac:dyDescent="0.2">
      <c r="A70" s="40">
        <v>5</v>
      </c>
      <c r="B70" s="40">
        <v>69</v>
      </c>
      <c r="C70" s="40" t="s">
        <v>149</v>
      </c>
      <c r="D70" s="38" t="s">
        <v>148</v>
      </c>
      <c r="E70" s="32" t="s">
        <v>2183</v>
      </c>
      <c r="F70" s="32" t="s">
        <v>126</v>
      </c>
      <c r="G70" s="38" t="s">
        <v>60</v>
      </c>
      <c r="H70" s="32" t="s">
        <v>115</v>
      </c>
      <c r="I70" s="32" t="s">
        <v>231</v>
      </c>
      <c r="J70" s="32" t="s">
        <v>368</v>
      </c>
      <c r="K70" s="32" t="s">
        <v>129</v>
      </c>
      <c r="L70" s="32" t="s">
        <v>30</v>
      </c>
      <c r="M70" s="32" t="s">
        <v>30</v>
      </c>
      <c r="N70" s="40">
        <v>2013</v>
      </c>
      <c r="O70" s="32">
        <f>VLOOKUP(Data!N195, CPI!$A$2:$B$112, 2, 0)</f>
        <v>232.95699999999999</v>
      </c>
      <c r="P70" s="32" t="s">
        <v>238</v>
      </c>
      <c r="Q70" s="32" t="s">
        <v>239</v>
      </c>
      <c r="R70" s="32" t="s">
        <v>2471</v>
      </c>
      <c r="S70" s="32">
        <v>229.7</v>
      </c>
      <c r="T70" s="32" t="s">
        <v>316</v>
      </c>
      <c r="U70" s="32">
        <v>229.7</v>
      </c>
      <c r="V70" s="32" t="s">
        <v>316</v>
      </c>
      <c r="X70" s="32">
        <v>229.7</v>
      </c>
      <c r="Y70" s="32">
        <f>(CPI!$B$112/O70)*X70</f>
        <v>300.41702749863708</v>
      </c>
      <c r="Z70" s="38" t="s">
        <v>262</v>
      </c>
      <c r="AA70" s="35" t="s">
        <v>1447</v>
      </c>
      <c r="AB70" s="32">
        <v>163600</v>
      </c>
      <c r="AC70" s="32" t="s">
        <v>2484</v>
      </c>
      <c r="AH70" s="61" t="s">
        <v>411</v>
      </c>
      <c r="AK70" s="40" t="s">
        <v>335</v>
      </c>
      <c r="AL70" s="32">
        <v>2017</v>
      </c>
      <c r="AM70" s="32" t="s">
        <v>336</v>
      </c>
      <c r="AN70" s="32" t="s">
        <v>337</v>
      </c>
      <c r="AP70" s="35" t="s">
        <v>259</v>
      </c>
    </row>
    <row r="71" spans="1:42" x14ac:dyDescent="0.2">
      <c r="A71" s="40">
        <v>5</v>
      </c>
      <c r="B71" s="40">
        <v>70</v>
      </c>
      <c r="C71" s="40" t="s">
        <v>149</v>
      </c>
      <c r="D71" s="38" t="s">
        <v>148</v>
      </c>
      <c r="E71" s="32" t="s">
        <v>2183</v>
      </c>
      <c r="F71" s="32" t="s">
        <v>237</v>
      </c>
      <c r="G71" s="38" t="s">
        <v>154</v>
      </c>
      <c r="H71" s="32" t="s">
        <v>115</v>
      </c>
      <c r="I71" s="32" t="s">
        <v>231</v>
      </c>
      <c r="J71" s="32" t="s">
        <v>368</v>
      </c>
      <c r="K71" s="32" t="s">
        <v>129</v>
      </c>
      <c r="L71" s="32" t="s">
        <v>30</v>
      </c>
      <c r="M71" s="32" t="s">
        <v>30</v>
      </c>
      <c r="N71" s="40">
        <v>2013</v>
      </c>
      <c r="O71" s="32">
        <f>VLOOKUP(Data!N196, CPI!$A$2:$B$112, 2, 0)</f>
        <v>232.95699999999999</v>
      </c>
      <c r="P71" s="32" t="s">
        <v>238</v>
      </c>
      <c r="Q71" s="32" t="s">
        <v>239</v>
      </c>
      <c r="R71" s="32" t="s">
        <v>2470</v>
      </c>
      <c r="S71" s="32">
        <v>2.1</v>
      </c>
      <c r="T71" s="32" t="s">
        <v>316</v>
      </c>
      <c r="U71" s="32">
        <v>2.1</v>
      </c>
      <c r="V71" s="32" t="s">
        <v>316</v>
      </c>
      <c r="X71" s="32">
        <v>2.1</v>
      </c>
      <c r="Y71" s="32">
        <f>(CPI!$B$112/O71)*X71</f>
        <v>2.746520495198685</v>
      </c>
      <c r="Z71" s="38" t="s">
        <v>262</v>
      </c>
      <c r="AA71" s="35" t="s">
        <v>1447</v>
      </c>
      <c r="AB71" s="32">
        <v>163600</v>
      </c>
      <c r="AC71" s="32" t="s">
        <v>2484</v>
      </c>
      <c r="AH71" s="61" t="s">
        <v>411</v>
      </c>
      <c r="AK71" s="40" t="s">
        <v>335</v>
      </c>
      <c r="AL71" s="32">
        <v>2017</v>
      </c>
      <c r="AM71" s="32" t="s">
        <v>336</v>
      </c>
      <c r="AN71" s="32" t="s">
        <v>337</v>
      </c>
      <c r="AP71" s="35" t="s">
        <v>259</v>
      </c>
    </row>
    <row r="72" spans="1:42" x14ac:dyDescent="0.2">
      <c r="A72" s="40">
        <v>5</v>
      </c>
      <c r="B72" s="40">
        <v>71</v>
      </c>
      <c r="C72" s="40" t="s">
        <v>149</v>
      </c>
      <c r="D72" s="38" t="s">
        <v>148</v>
      </c>
      <c r="E72" s="32" t="s">
        <v>2183</v>
      </c>
      <c r="F72" s="32" t="s">
        <v>126</v>
      </c>
      <c r="G72" s="38" t="s">
        <v>60</v>
      </c>
      <c r="H72" s="32" t="s">
        <v>115</v>
      </c>
      <c r="I72" s="32" t="s">
        <v>231</v>
      </c>
      <c r="J72" s="32" t="s">
        <v>368</v>
      </c>
      <c r="K72" s="32" t="s">
        <v>129</v>
      </c>
      <c r="L72" s="32" t="s">
        <v>30</v>
      </c>
      <c r="M72" s="32" t="s">
        <v>30</v>
      </c>
      <c r="N72" s="40">
        <v>2013</v>
      </c>
      <c r="O72" s="32">
        <f>VLOOKUP(Data!N197, CPI!$A$2:$B$112, 2, 0)</f>
        <v>232.95699999999999</v>
      </c>
      <c r="P72" s="32" t="s">
        <v>238</v>
      </c>
      <c r="Q72" s="32" t="s">
        <v>239</v>
      </c>
      <c r="R72" s="32" t="s">
        <v>2469</v>
      </c>
      <c r="S72" s="32">
        <v>12</v>
      </c>
      <c r="T72" s="32" t="s">
        <v>316</v>
      </c>
      <c r="U72" s="32">
        <v>12</v>
      </c>
      <c r="V72" s="32" t="s">
        <v>316</v>
      </c>
      <c r="X72" s="32">
        <v>12</v>
      </c>
      <c r="Y72" s="32">
        <f>(CPI!$B$112/O72)*X72</f>
        <v>15.694402829706771</v>
      </c>
      <c r="Z72" s="38" t="s">
        <v>262</v>
      </c>
      <c r="AA72" s="35" t="s">
        <v>1447</v>
      </c>
      <c r="AB72" s="32">
        <v>163600</v>
      </c>
      <c r="AC72" s="32" t="s">
        <v>2484</v>
      </c>
      <c r="AH72" s="61" t="s">
        <v>411</v>
      </c>
      <c r="AK72" s="40" t="s">
        <v>335</v>
      </c>
      <c r="AL72" s="32">
        <v>2017</v>
      </c>
      <c r="AM72" s="32" t="s">
        <v>336</v>
      </c>
      <c r="AN72" s="32" t="s">
        <v>337</v>
      </c>
      <c r="AP72" s="35" t="s">
        <v>259</v>
      </c>
    </row>
    <row r="73" spans="1:42" x14ac:dyDescent="0.2">
      <c r="A73" s="40">
        <v>5</v>
      </c>
      <c r="B73" s="40">
        <v>72</v>
      </c>
      <c r="C73" s="40" t="s">
        <v>149</v>
      </c>
      <c r="D73" s="38" t="s">
        <v>148</v>
      </c>
      <c r="E73" s="32" t="s">
        <v>2183</v>
      </c>
      <c r="F73" s="32" t="s">
        <v>140</v>
      </c>
      <c r="G73" s="38" t="s">
        <v>2160</v>
      </c>
      <c r="H73" s="32" t="s">
        <v>115</v>
      </c>
      <c r="I73" s="32" t="s">
        <v>231</v>
      </c>
      <c r="J73" s="32" t="s">
        <v>368</v>
      </c>
      <c r="K73" s="32" t="s">
        <v>129</v>
      </c>
      <c r="L73" s="32" t="s">
        <v>30</v>
      </c>
      <c r="M73" s="32" t="s">
        <v>30</v>
      </c>
      <c r="N73" s="40">
        <v>2013</v>
      </c>
      <c r="O73" s="32">
        <f>VLOOKUP(Data!N198, CPI!$A$2:$B$112, 2, 0)</f>
        <v>232.95699999999999</v>
      </c>
      <c r="P73" s="32" t="s">
        <v>238</v>
      </c>
      <c r="Q73" s="32" t="s">
        <v>239</v>
      </c>
      <c r="R73" s="32" t="s">
        <v>2468</v>
      </c>
      <c r="S73" s="32">
        <v>19.7</v>
      </c>
      <c r="T73" s="32" t="s">
        <v>316</v>
      </c>
      <c r="U73" s="32">
        <v>19.7</v>
      </c>
      <c r="V73" s="32" t="s">
        <v>316</v>
      </c>
      <c r="X73" s="32">
        <v>19.7</v>
      </c>
      <c r="Y73" s="32">
        <f>(CPI!$B$112/O73)*X73</f>
        <v>25.764977978768616</v>
      </c>
      <c r="Z73" s="38" t="s">
        <v>262</v>
      </c>
      <c r="AA73" s="35" t="s">
        <v>1447</v>
      </c>
      <c r="AB73" s="32">
        <v>163600</v>
      </c>
      <c r="AC73" s="32" t="s">
        <v>2484</v>
      </c>
      <c r="AH73" s="61" t="s">
        <v>411</v>
      </c>
      <c r="AK73" s="40" t="s">
        <v>335</v>
      </c>
      <c r="AL73" s="32">
        <v>2017</v>
      </c>
      <c r="AM73" s="32" t="s">
        <v>336</v>
      </c>
      <c r="AN73" s="32" t="s">
        <v>337</v>
      </c>
      <c r="AP73" s="35" t="s">
        <v>259</v>
      </c>
    </row>
    <row r="74" spans="1:42" x14ac:dyDescent="0.2">
      <c r="A74" s="40">
        <v>5</v>
      </c>
      <c r="B74" s="40">
        <v>73</v>
      </c>
      <c r="C74" s="40" t="s">
        <v>149</v>
      </c>
      <c r="D74" s="38" t="s">
        <v>148</v>
      </c>
      <c r="E74" s="32" t="s">
        <v>2183</v>
      </c>
      <c r="F74" s="32" t="s">
        <v>126</v>
      </c>
      <c r="G74" s="38" t="s">
        <v>152</v>
      </c>
      <c r="H74" s="32" t="s">
        <v>115</v>
      </c>
      <c r="I74" s="32" t="s">
        <v>231</v>
      </c>
      <c r="J74" s="32" t="s">
        <v>368</v>
      </c>
      <c r="K74" s="32" t="s">
        <v>129</v>
      </c>
      <c r="L74" s="32" t="s">
        <v>30</v>
      </c>
      <c r="M74" s="32" t="s">
        <v>30</v>
      </c>
      <c r="N74" s="40">
        <v>2013</v>
      </c>
      <c r="O74" s="32">
        <f>VLOOKUP(Data!N199, CPI!$A$2:$B$112, 2, 0)</f>
        <v>232.95699999999999</v>
      </c>
      <c r="P74" s="32" t="s">
        <v>238</v>
      </c>
      <c r="Q74" s="32" t="s">
        <v>239</v>
      </c>
      <c r="R74" s="32" t="s">
        <v>2467</v>
      </c>
      <c r="S74" s="32">
        <v>37.799999999999997</v>
      </c>
      <c r="T74" s="32" t="s">
        <v>316</v>
      </c>
      <c r="U74" s="32">
        <v>37.799999999999997</v>
      </c>
      <c r="V74" s="32" t="s">
        <v>316</v>
      </c>
      <c r="X74" s="32">
        <v>37.799999999999997</v>
      </c>
      <c r="Y74" s="32">
        <f>(CPI!$B$112/O74)*X74</f>
        <v>49.437368913576329</v>
      </c>
      <c r="Z74" s="38" t="s">
        <v>262</v>
      </c>
      <c r="AA74" s="35" t="s">
        <v>1447</v>
      </c>
      <c r="AB74" s="32">
        <v>163600</v>
      </c>
      <c r="AC74" s="32" t="s">
        <v>2484</v>
      </c>
      <c r="AH74" s="61" t="s">
        <v>411</v>
      </c>
      <c r="AK74" s="40" t="s">
        <v>335</v>
      </c>
      <c r="AL74" s="32">
        <v>2017</v>
      </c>
      <c r="AM74" s="32" t="s">
        <v>336</v>
      </c>
      <c r="AN74" s="32" t="s">
        <v>337</v>
      </c>
      <c r="AP74" s="35" t="s">
        <v>259</v>
      </c>
    </row>
    <row r="75" spans="1:42" x14ac:dyDescent="0.2">
      <c r="A75" s="40">
        <v>5</v>
      </c>
      <c r="B75" s="40">
        <v>74</v>
      </c>
      <c r="C75" s="40" t="s">
        <v>149</v>
      </c>
      <c r="D75" s="38" t="s">
        <v>148</v>
      </c>
      <c r="E75" s="32" t="s">
        <v>2183</v>
      </c>
      <c r="F75" s="32" t="s">
        <v>126</v>
      </c>
      <c r="G75" s="35" t="s">
        <v>153</v>
      </c>
      <c r="H75" s="32" t="s">
        <v>115</v>
      </c>
      <c r="I75" s="32" t="s">
        <v>231</v>
      </c>
      <c r="J75" s="32" t="s">
        <v>368</v>
      </c>
      <c r="K75" s="32" t="s">
        <v>129</v>
      </c>
      <c r="L75" s="32" t="s">
        <v>30</v>
      </c>
      <c r="M75" s="32" t="s">
        <v>30</v>
      </c>
      <c r="N75" s="40">
        <v>2013</v>
      </c>
      <c r="O75" s="32">
        <f>VLOOKUP(Data!N200, CPI!$A$2:$B$112, 2, 0)</f>
        <v>232.95699999999999</v>
      </c>
      <c r="P75" s="32" t="s">
        <v>238</v>
      </c>
      <c r="Q75" s="32" t="s">
        <v>239</v>
      </c>
      <c r="R75" s="32" t="s">
        <v>2466</v>
      </c>
      <c r="S75" s="32">
        <v>51.6</v>
      </c>
      <c r="T75" s="32" t="s">
        <v>316</v>
      </c>
      <c r="U75" s="32">
        <v>51.6</v>
      </c>
      <c r="V75" s="32" t="s">
        <v>316</v>
      </c>
      <c r="X75" s="32">
        <v>51.6</v>
      </c>
      <c r="Y75" s="32">
        <f>(CPI!$B$112/O75)*X75</f>
        <v>67.485932167739122</v>
      </c>
      <c r="Z75" s="38" t="s">
        <v>262</v>
      </c>
      <c r="AA75" s="35" t="s">
        <v>1447</v>
      </c>
      <c r="AB75" s="32">
        <v>163600</v>
      </c>
      <c r="AC75" s="32" t="s">
        <v>2484</v>
      </c>
      <c r="AH75" s="61" t="s">
        <v>411</v>
      </c>
      <c r="AK75" s="40" t="s">
        <v>335</v>
      </c>
      <c r="AL75" s="32">
        <v>2017</v>
      </c>
      <c r="AM75" s="32" t="s">
        <v>336</v>
      </c>
      <c r="AN75" s="32" t="s">
        <v>337</v>
      </c>
      <c r="AP75" s="35" t="s">
        <v>259</v>
      </c>
    </row>
    <row r="76" spans="1:42" x14ac:dyDescent="0.2">
      <c r="A76" s="40">
        <v>5</v>
      </c>
      <c r="B76" s="40">
        <v>75</v>
      </c>
      <c r="C76" s="40" t="s">
        <v>149</v>
      </c>
      <c r="D76" s="38" t="s">
        <v>148</v>
      </c>
      <c r="E76" s="32" t="s">
        <v>2186</v>
      </c>
      <c r="F76" s="32" t="s">
        <v>29</v>
      </c>
      <c r="G76" s="38" t="s">
        <v>29</v>
      </c>
      <c r="H76" s="32" t="s">
        <v>115</v>
      </c>
      <c r="I76" s="32" t="s">
        <v>231</v>
      </c>
      <c r="J76" s="32" t="s">
        <v>368</v>
      </c>
      <c r="K76" s="32" t="s">
        <v>129</v>
      </c>
      <c r="L76" s="32" t="s">
        <v>30</v>
      </c>
      <c r="M76" s="32" t="s">
        <v>30</v>
      </c>
      <c r="N76" s="40">
        <v>2013</v>
      </c>
      <c r="O76" s="32">
        <f>VLOOKUP(Data!N201, CPI!$A$2:$B$112, 2, 0)</f>
        <v>232.95699999999999</v>
      </c>
      <c r="P76" s="32" t="s">
        <v>238</v>
      </c>
      <c r="Q76" s="32" t="s">
        <v>239</v>
      </c>
      <c r="R76" s="32" t="s">
        <v>2482</v>
      </c>
      <c r="S76" s="32">
        <v>1070.5</v>
      </c>
      <c r="T76" s="32" t="s">
        <v>316</v>
      </c>
      <c r="U76" s="32">
        <v>1070.5</v>
      </c>
      <c r="V76" s="32" t="s">
        <v>316</v>
      </c>
      <c r="X76" s="32">
        <v>1070.5</v>
      </c>
      <c r="Y76" s="32">
        <f>(CPI!$B$112/O76)*X76</f>
        <v>1400.0715191000916</v>
      </c>
      <c r="Z76" s="38" t="s">
        <v>262</v>
      </c>
      <c r="AA76" s="35" t="s">
        <v>1447</v>
      </c>
      <c r="AB76" s="32">
        <v>163600</v>
      </c>
      <c r="AC76" s="32" t="s">
        <v>2484</v>
      </c>
      <c r="AH76" s="61" t="s">
        <v>411</v>
      </c>
      <c r="AK76" s="40" t="s">
        <v>335</v>
      </c>
      <c r="AL76" s="32">
        <v>2017</v>
      </c>
      <c r="AM76" s="32" t="s">
        <v>336</v>
      </c>
      <c r="AN76" s="32" t="s">
        <v>337</v>
      </c>
      <c r="AP76" s="35" t="s">
        <v>259</v>
      </c>
    </row>
    <row r="77" spans="1:42" x14ac:dyDescent="0.2">
      <c r="A77" s="40">
        <v>5</v>
      </c>
      <c r="B77" s="40">
        <v>76</v>
      </c>
      <c r="C77" s="40" t="s">
        <v>149</v>
      </c>
      <c r="D77" s="38" t="s">
        <v>148</v>
      </c>
      <c r="E77" s="32" t="s">
        <v>2186</v>
      </c>
      <c r="F77" s="32" t="s">
        <v>29</v>
      </c>
      <c r="G77" s="38" t="s">
        <v>29</v>
      </c>
      <c r="H77" s="32" t="s">
        <v>115</v>
      </c>
      <c r="I77" s="32" t="s">
        <v>231</v>
      </c>
      <c r="J77" s="32" t="s">
        <v>368</v>
      </c>
      <c r="K77" s="32" t="s">
        <v>129</v>
      </c>
      <c r="L77" s="32" t="s">
        <v>30</v>
      </c>
      <c r="M77" s="32" t="s">
        <v>30</v>
      </c>
      <c r="N77" s="40">
        <v>2013</v>
      </c>
      <c r="O77" s="32">
        <f>VLOOKUP(Data!N202, CPI!$A$2:$B$112, 2, 0)</f>
        <v>232.95699999999999</v>
      </c>
      <c r="P77" s="32" t="s">
        <v>238</v>
      </c>
      <c r="Q77" s="32" t="s">
        <v>239</v>
      </c>
      <c r="R77" s="32" t="s">
        <v>2483</v>
      </c>
      <c r="S77" s="32">
        <v>1143.5999999999999</v>
      </c>
      <c r="T77" s="32" t="s">
        <v>316</v>
      </c>
      <c r="U77" s="32">
        <v>1143.5999999999999</v>
      </c>
      <c r="V77" s="32" t="s">
        <v>316</v>
      </c>
      <c r="X77" s="32">
        <v>1143.5999999999999</v>
      </c>
      <c r="Y77" s="32">
        <f>(CPI!$B$112/O77)*X77</f>
        <v>1495.6765896710551</v>
      </c>
      <c r="Z77" s="38" t="s">
        <v>262</v>
      </c>
      <c r="AA77" s="35" t="s">
        <v>1447</v>
      </c>
      <c r="AB77" s="32">
        <v>163600</v>
      </c>
      <c r="AC77" s="32" t="s">
        <v>2484</v>
      </c>
      <c r="AH77" s="61" t="s">
        <v>411</v>
      </c>
      <c r="AK77" s="40" t="s">
        <v>335</v>
      </c>
      <c r="AL77" s="32">
        <v>2017</v>
      </c>
      <c r="AM77" s="32" t="s">
        <v>336</v>
      </c>
      <c r="AN77" s="32" t="s">
        <v>337</v>
      </c>
      <c r="AP77" s="35" t="s">
        <v>259</v>
      </c>
    </row>
    <row r="78" spans="1:42" x14ac:dyDescent="0.2">
      <c r="A78" s="40">
        <v>5</v>
      </c>
      <c r="B78" s="40">
        <v>77</v>
      </c>
      <c r="C78" s="40" t="s">
        <v>149</v>
      </c>
      <c r="D78" s="38" t="s">
        <v>148</v>
      </c>
      <c r="E78" s="32" t="s">
        <v>2186</v>
      </c>
      <c r="F78" s="32" t="s">
        <v>29</v>
      </c>
      <c r="G78" s="38" t="s">
        <v>29</v>
      </c>
      <c r="H78" s="32" t="s">
        <v>115</v>
      </c>
      <c r="I78" s="32" t="s">
        <v>231</v>
      </c>
      <c r="J78" s="32" t="s">
        <v>368</v>
      </c>
      <c r="K78" s="32" t="s">
        <v>129</v>
      </c>
      <c r="L78" s="32" t="s">
        <v>30</v>
      </c>
      <c r="M78" s="32" t="s">
        <v>30</v>
      </c>
      <c r="N78" s="40">
        <v>2013</v>
      </c>
      <c r="O78" s="32">
        <f>VLOOKUP(Data!N203, CPI!$A$2:$B$112, 2, 0)</f>
        <v>232.95699999999999</v>
      </c>
      <c r="P78" s="32" t="s">
        <v>238</v>
      </c>
      <c r="Q78" s="32" t="s">
        <v>239</v>
      </c>
      <c r="R78" s="32" t="s">
        <v>2485</v>
      </c>
      <c r="S78" s="32">
        <v>238</v>
      </c>
      <c r="T78" s="32" t="s">
        <v>316</v>
      </c>
      <c r="U78" s="32">
        <v>238</v>
      </c>
      <c r="V78" s="32" t="s">
        <v>316</v>
      </c>
      <c r="X78" s="32">
        <v>238</v>
      </c>
      <c r="Y78" s="32">
        <f>(CPI!$B$112/O78)*X78</f>
        <v>311.27232278918427</v>
      </c>
      <c r="Z78" s="38" t="s">
        <v>262</v>
      </c>
      <c r="AA78" s="35" t="s">
        <v>1447</v>
      </c>
      <c r="AB78" s="32">
        <v>163600</v>
      </c>
      <c r="AC78" s="32" t="s">
        <v>2484</v>
      </c>
      <c r="AH78" s="61" t="s">
        <v>411</v>
      </c>
      <c r="AK78" s="40" t="s">
        <v>335</v>
      </c>
      <c r="AL78" s="32">
        <v>2017</v>
      </c>
      <c r="AM78" s="32" t="s">
        <v>336</v>
      </c>
      <c r="AN78" s="32" t="s">
        <v>337</v>
      </c>
      <c r="AP78" s="35" t="s">
        <v>259</v>
      </c>
    </row>
    <row r="79" spans="1:42" x14ac:dyDescent="0.2">
      <c r="A79" s="40">
        <v>5</v>
      </c>
      <c r="B79" s="40">
        <v>78</v>
      </c>
      <c r="C79" s="40" t="s">
        <v>149</v>
      </c>
      <c r="D79" s="38" t="s">
        <v>148</v>
      </c>
      <c r="E79" s="32" t="s">
        <v>2186</v>
      </c>
      <c r="F79" s="32" t="s">
        <v>29</v>
      </c>
      <c r="G79" s="38" t="s">
        <v>29</v>
      </c>
      <c r="H79" s="32" t="s">
        <v>115</v>
      </c>
      <c r="I79" s="32" t="s">
        <v>231</v>
      </c>
      <c r="J79" s="32" t="s">
        <v>368</v>
      </c>
      <c r="K79" s="32" t="s">
        <v>129</v>
      </c>
      <c r="L79" s="32" t="s">
        <v>30</v>
      </c>
      <c r="M79" s="32" t="s">
        <v>30</v>
      </c>
      <c r="N79" s="40">
        <v>2013</v>
      </c>
      <c r="O79" s="32">
        <f>VLOOKUP(Data!N204, CPI!$A$2:$B$112, 2, 0)</f>
        <v>232.95699999999999</v>
      </c>
      <c r="P79" s="32" t="s">
        <v>238</v>
      </c>
      <c r="Q79" s="32" t="s">
        <v>239</v>
      </c>
      <c r="R79" s="32" t="s">
        <v>2486</v>
      </c>
      <c r="S79" s="32">
        <v>311</v>
      </c>
      <c r="T79" s="32" t="s">
        <v>316</v>
      </c>
      <c r="U79" s="32">
        <v>311</v>
      </c>
      <c r="V79" s="32" t="s">
        <v>316</v>
      </c>
      <c r="X79" s="32">
        <v>311</v>
      </c>
      <c r="Y79" s="32">
        <f>(CPI!$B$112/O79)*X79</f>
        <v>406.74660666990047</v>
      </c>
      <c r="Z79" s="38" t="s">
        <v>262</v>
      </c>
      <c r="AA79" s="35" t="s">
        <v>1447</v>
      </c>
      <c r="AB79" s="32">
        <v>163600</v>
      </c>
      <c r="AC79" s="32" t="s">
        <v>2484</v>
      </c>
      <c r="AH79" s="61" t="s">
        <v>411</v>
      </c>
      <c r="AK79" s="40" t="s">
        <v>335</v>
      </c>
      <c r="AL79" s="32">
        <v>2017</v>
      </c>
      <c r="AM79" s="32" t="s">
        <v>336</v>
      </c>
      <c r="AN79" s="32" t="s">
        <v>337</v>
      </c>
      <c r="AP79" s="35" t="s">
        <v>259</v>
      </c>
    </row>
    <row r="80" spans="1:42" x14ac:dyDescent="0.2">
      <c r="A80" s="40">
        <v>6</v>
      </c>
      <c r="B80" s="40">
        <v>79</v>
      </c>
      <c r="C80" s="40" t="s">
        <v>39</v>
      </c>
      <c r="D80" s="38" t="s">
        <v>38</v>
      </c>
      <c r="E80" s="32" t="s">
        <v>2183</v>
      </c>
      <c r="F80" s="32" t="s">
        <v>48</v>
      </c>
      <c r="G80" s="38" t="s">
        <v>67</v>
      </c>
      <c r="H80" s="32" t="s">
        <v>151</v>
      </c>
      <c r="I80" s="32" t="s">
        <v>231</v>
      </c>
      <c r="J80" s="32" t="s">
        <v>341</v>
      </c>
      <c r="K80" s="32" t="s">
        <v>129</v>
      </c>
      <c r="L80" s="32" t="s">
        <v>30</v>
      </c>
      <c r="M80" s="32" t="s">
        <v>30</v>
      </c>
      <c r="N80" s="40">
        <v>2004</v>
      </c>
      <c r="O80" s="32">
        <f>VLOOKUP(Data!N2, CPI!$A$2:$B$112, 2, 0)</f>
        <v>195.3</v>
      </c>
      <c r="P80" s="32" t="s">
        <v>122</v>
      </c>
      <c r="Q80" s="32" t="s">
        <v>4</v>
      </c>
      <c r="R80" s="32" t="s">
        <v>342</v>
      </c>
      <c r="S80" s="32">
        <v>57800</v>
      </c>
      <c r="T80" s="32" t="s">
        <v>346</v>
      </c>
      <c r="U80" s="32">
        <f>S80/AB80</f>
        <v>0.28168327688296496</v>
      </c>
      <c r="V80" s="32" t="s">
        <v>2488</v>
      </c>
      <c r="Y80" s="32">
        <f>(CPI!$B$112/O80)*X80</f>
        <v>0</v>
      </c>
      <c r="Z80" s="38" t="s">
        <v>347</v>
      </c>
      <c r="AA80" s="35" t="s">
        <v>1412</v>
      </c>
      <c r="AB80" s="32">
        <v>205195</v>
      </c>
      <c r="AC80" s="32" t="s">
        <v>2441</v>
      </c>
      <c r="AG80"/>
      <c r="AH80" s="61" t="s">
        <v>411</v>
      </c>
      <c r="AJ80" s="35" t="s">
        <v>2278</v>
      </c>
      <c r="AK80" s="40" t="s">
        <v>338</v>
      </c>
      <c r="AL80" s="32">
        <v>2009</v>
      </c>
      <c r="AM80" s="32" t="s">
        <v>339</v>
      </c>
      <c r="AN80" s="32" t="s">
        <v>340</v>
      </c>
      <c r="AP80" s="35" t="s">
        <v>259</v>
      </c>
    </row>
    <row r="81" spans="1:42" x14ac:dyDescent="0.2">
      <c r="A81" s="40">
        <v>6</v>
      </c>
      <c r="B81" s="40">
        <v>80</v>
      </c>
      <c r="C81" s="40" t="s">
        <v>39</v>
      </c>
      <c r="D81" s="38" t="s">
        <v>38</v>
      </c>
      <c r="E81" s="32" t="s">
        <v>2183</v>
      </c>
      <c r="F81" s="32" t="s">
        <v>48</v>
      </c>
      <c r="G81" s="38" t="s">
        <v>67</v>
      </c>
      <c r="H81" s="32" t="s">
        <v>151</v>
      </c>
      <c r="I81" s="32" t="s">
        <v>231</v>
      </c>
      <c r="J81" s="32" t="s">
        <v>341</v>
      </c>
      <c r="K81" s="32" t="s">
        <v>129</v>
      </c>
      <c r="L81" s="32" t="s">
        <v>30</v>
      </c>
      <c r="M81" s="32" t="s">
        <v>30</v>
      </c>
      <c r="N81" s="40">
        <v>2004</v>
      </c>
      <c r="O81" s="32">
        <f>VLOOKUP(Data!N3, CPI!$A$2:$B$112, 2, 0)</f>
        <v>195.3</v>
      </c>
      <c r="P81" s="32" t="s">
        <v>122</v>
      </c>
      <c r="Q81" s="32" t="s">
        <v>4</v>
      </c>
      <c r="R81" s="32" t="s">
        <v>343</v>
      </c>
      <c r="S81" s="32">
        <v>55000</v>
      </c>
      <c r="T81" s="32" t="s">
        <v>346</v>
      </c>
      <c r="U81" s="32">
        <f>S81/AB81</f>
        <v>0.26803772021735423</v>
      </c>
      <c r="V81" s="32" t="s">
        <v>2488</v>
      </c>
      <c r="Y81" s="32">
        <f>(CPI!$B$112/O81)*X81</f>
        <v>0</v>
      </c>
      <c r="Z81" s="38" t="s">
        <v>347</v>
      </c>
      <c r="AA81" s="35" t="s">
        <v>1412</v>
      </c>
      <c r="AB81" s="32">
        <v>205195</v>
      </c>
      <c r="AC81" s="32" t="s">
        <v>2441</v>
      </c>
      <c r="AG81"/>
      <c r="AH81" s="61" t="s">
        <v>411</v>
      </c>
      <c r="AJ81" s="35" t="s">
        <v>2278</v>
      </c>
      <c r="AK81" s="40" t="s">
        <v>338</v>
      </c>
      <c r="AL81" s="32">
        <v>2010</v>
      </c>
      <c r="AM81" s="32" t="s">
        <v>339</v>
      </c>
      <c r="AN81" s="32" t="s">
        <v>340</v>
      </c>
      <c r="AP81" s="35" t="s">
        <v>259</v>
      </c>
    </row>
    <row r="82" spans="1:42" x14ac:dyDescent="0.2">
      <c r="A82" s="40">
        <v>6</v>
      </c>
      <c r="B82" s="40">
        <v>81</v>
      </c>
      <c r="C82" s="40" t="s">
        <v>39</v>
      </c>
      <c r="D82" s="38" t="s">
        <v>38</v>
      </c>
      <c r="E82" s="32" t="s">
        <v>2183</v>
      </c>
      <c r="F82" s="32" t="s">
        <v>48</v>
      </c>
      <c r="G82" s="38" t="s">
        <v>67</v>
      </c>
      <c r="H82" s="32" t="s">
        <v>151</v>
      </c>
      <c r="I82" s="32" t="s">
        <v>231</v>
      </c>
      <c r="J82" s="32" t="s">
        <v>341</v>
      </c>
      <c r="K82" s="32" t="s">
        <v>129</v>
      </c>
      <c r="L82" s="32" t="s">
        <v>30</v>
      </c>
      <c r="M82" s="32" t="s">
        <v>30</v>
      </c>
      <c r="N82" s="40">
        <v>2004</v>
      </c>
      <c r="O82" s="32">
        <f>VLOOKUP(Data!N1307, CPI!$A$2:$B$112, 2, 0)</f>
        <v>236.73599999999999</v>
      </c>
      <c r="P82" s="32" t="s">
        <v>122</v>
      </c>
      <c r="Q82" s="32" t="s">
        <v>4</v>
      </c>
      <c r="R82" s="32" t="s">
        <v>344</v>
      </c>
      <c r="S82" s="32">
        <v>550</v>
      </c>
      <c r="T82" s="32" t="s">
        <v>346</v>
      </c>
      <c r="Z82" s="38" t="s">
        <v>347</v>
      </c>
      <c r="AA82" s="35" t="s">
        <v>1412</v>
      </c>
      <c r="AB82" s="32">
        <v>205195</v>
      </c>
      <c r="AC82" s="32" t="s">
        <v>2441</v>
      </c>
      <c r="AH82" s="61" t="s">
        <v>411</v>
      </c>
      <c r="AK82" s="40" t="s">
        <v>338</v>
      </c>
      <c r="AL82" s="32">
        <v>2011</v>
      </c>
      <c r="AM82" s="32" t="s">
        <v>339</v>
      </c>
      <c r="AN82" s="32" t="s">
        <v>340</v>
      </c>
      <c r="AP82" s="35" t="s">
        <v>259</v>
      </c>
    </row>
    <row r="83" spans="1:42" x14ac:dyDescent="0.2">
      <c r="A83" s="40">
        <v>6</v>
      </c>
      <c r="B83" s="40">
        <v>82</v>
      </c>
      <c r="C83" s="40" t="s">
        <v>39</v>
      </c>
      <c r="D83" s="38" t="s">
        <v>38</v>
      </c>
      <c r="E83" s="32" t="s">
        <v>2183</v>
      </c>
      <c r="F83" s="32" t="s">
        <v>48</v>
      </c>
      <c r="G83" s="38" t="s">
        <v>67</v>
      </c>
      <c r="H83" s="32" t="s">
        <v>151</v>
      </c>
      <c r="I83" s="32" t="s">
        <v>231</v>
      </c>
      <c r="J83" s="32" t="s">
        <v>341</v>
      </c>
      <c r="K83" s="32" t="s">
        <v>129</v>
      </c>
      <c r="L83" s="32" t="s">
        <v>30</v>
      </c>
      <c r="M83" s="32" t="s">
        <v>30</v>
      </c>
      <c r="N83" s="40">
        <v>2004</v>
      </c>
      <c r="O83" s="32">
        <f>VLOOKUP(Data!N1308, CPI!$A$2:$B$112, 2, 0)</f>
        <v>236.73599999999999</v>
      </c>
      <c r="P83" s="32" t="s">
        <v>122</v>
      </c>
      <c r="Q83" s="32" t="s">
        <v>4</v>
      </c>
      <c r="R83" s="32" t="s">
        <v>345</v>
      </c>
      <c r="S83" s="32">
        <v>50</v>
      </c>
      <c r="T83" s="32" t="s">
        <v>346</v>
      </c>
      <c r="Z83" s="38" t="s">
        <v>347</v>
      </c>
      <c r="AA83" s="35" t="s">
        <v>1412</v>
      </c>
      <c r="AB83" s="32">
        <v>205195</v>
      </c>
      <c r="AC83" s="32" t="s">
        <v>2441</v>
      </c>
      <c r="AH83" s="61" t="s">
        <v>411</v>
      </c>
      <c r="AK83" s="40" t="s">
        <v>338</v>
      </c>
      <c r="AL83" s="32">
        <v>2012</v>
      </c>
      <c r="AM83" s="32" t="s">
        <v>339</v>
      </c>
      <c r="AN83" s="32" t="s">
        <v>340</v>
      </c>
      <c r="AP83" s="35" t="s">
        <v>259</v>
      </c>
    </row>
    <row r="84" spans="1:42" x14ac:dyDescent="0.2">
      <c r="A84" s="40">
        <v>7</v>
      </c>
      <c r="B84" s="40">
        <v>83</v>
      </c>
      <c r="C84" s="40" t="s">
        <v>357</v>
      </c>
      <c r="D84" s="38" t="s">
        <v>165</v>
      </c>
      <c r="E84" s="32" t="s">
        <v>2184</v>
      </c>
      <c r="F84" s="32" t="s">
        <v>43</v>
      </c>
      <c r="G84" s="38" t="s">
        <v>2930</v>
      </c>
      <c r="H84" s="32" t="s">
        <v>115</v>
      </c>
      <c r="I84" s="32" t="s">
        <v>243</v>
      </c>
      <c r="J84" s="32" t="s">
        <v>352</v>
      </c>
      <c r="K84" s="32" t="s">
        <v>129</v>
      </c>
      <c r="L84" s="32" t="s">
        <v>30</v>
      </c>
      <c r="M84" s="32" t="s">
        <v>30</v>
      </c>
      <c r="N84" s="40">
        <v>2006</v>
      </c>
      <c r="O84" s="32">
        <f>VLOOKUP(Data!N205, CPI!$A$2:$B$112, 2, 0)</f>
        <v>232.95699999999999</v>
      </c>
      <c r="P84" s="32" t="s">
        <v>21</v>
      </c>
      <c r="Q84" s="32" t="s">
        <v>239</v>
      </c>
      <c r="R84" s="32" t="s">
        <v>353</v>
      </c>
      <c r="S84" s="32">
        <v>3860000</v>
      </c>
      <c r="T84" s="32" t="s">
        <v>300</v>
      </c>
      <c r="U84" s="32">
        <f>S84/AB84</f>
        <v>419.56521739130437</v>
      </c>
      <c r="V84" s="32" t="s">
        <v>316</v>
      </c>
      <c r="X84" s="32">
        <v>419.56521739130437</v>
      </c>
      <c r="Y84" s="32">
        <f>(CPI!$B$112/O84)*X84</f>
        <v>548.73546125605196</v>
      </c>
      <c r="Z84" s="38" t="s">
        <v>262</v>
      </c>
      <c r="AA84" s="32" t="s">
        <v>2487</v>
      </c>
      <c r="AB84" s="32">
        <v>9200</v>
      </c>
      <c r="AC84" s="35" t="s">
        <v>2489</v>
      </c>
      <c r="AH84" s="61" t="s">
        <v>411</v>
      </c>
      <c r="AI84" s="32" t="s">
        <v>2491</v>
      </c>
      <c r="AJ84" s="35" t="s">
        <v>2278</v>
      </c>
      <c r="AK84" s="40" t="s">
        <v>349</v>
      </c>
      <c r="AL84" s="32">
        <v>2011</v>
      </c>
      <c r="AM84" s="32" t="s">
        <v>350</v>
      </c>
      <c r="AN84" s="32" t="s">
        <v>351</v>
      </c>
      <c r="AP84" s="35" t="s">
        <v>259</v>
      </c>
    </row>
    <row r="85" spans="1:42" x14ac:dyDescent="0.2">
      <c r="A85" s="40">
        <v>8</v>
      </c>
      <c r="B85" s="40">
        <v>84</v>
      </c>
      <c r="C85" s="40" t="s">
        <v>114</v>
      </c>
      <c r="D85" s="38" t="s">
        <v>138</v>
      </c>
      <c r="E85" s="32" t="s">
        <v>2183</v>
      </c>
      <c r="F85" s="32" t="s">
        <v>237</v>
      </c>
      <c r="G85" s="38" t="s">
        <v>154</v>
      </c>
      <c r="H85" s="32" t="s">
        <v>151</v>
      </c>
      <c r="I85" s="32" t="s">
        <v>243</v>
      </c>
      <c r="J85" s="32" t="s">
        <v>2492</v>
      </c>
      <c r="K85" s="32" t="s">
        <v>129</v>
      </c>
      <c r="L85" s="32" t="s">
        <v>30</v>
      </c>
      <c r="M85" s="32" t="s">
        <v>30</v>
      </c>
      <c r="N85" s="40">
        <v>2005</v>
      </c>
      <c r="O85" s="32">
        <f>VLOOKUP(Data!N10, CPI!$A$2:$B$112, 2, 0)</f>
        <v>195.3</v>
      </c>
      <c r="P85" s="32" t="s">
        <v>238</v>
      </c>
      <c r="Q85" s="32" t="s">
        <v>239</v>
      </c>
      <c r="R85" s="32" t="s">
        <v>2490</v>
      </c>
      <c r="S85" s="32">
        <v>11012560</v>
      </c>
      <c r="T85" s="32" t="s">
        <v>305</v>
      </c>
      <c r="U85" s="32">
        <f>S85/AB85</f>
        <v>1001.1418181818182</v>
      </c>
      <c r="V85" s="32" t="s">
        <v>306</v>
      </c>
      <c r="W85" s="32">
        <f>VLOOKUP(N85, 'Exchange rate-Kenya'!$A$3:$B$65, 2, 0)</f>
        <v>75.554109451431103</v>
      </c>
      <c r="X85" s="32">
        <f>U85/W85</f>
        <v>13.250660029622718</v>
      </c>
      <c r="Y85" s="32">
        <f>(CPI!$B$112/O85)*X85</f>
        <v>20.671623313775491</v>
      </c>
      <c r="Z85" s="38" t="s">
        <v>303</v>
      </c>
      <c r="AA85" s="32" t="s">
        <v>2493</v>
      </c>
      <c r="AB85" s="32">
        <f>10500+500</f>
        <v>11000</v>
      </c>
      <c r="AC85" s="32" t="s">
        <v>1569</v>
      </c>
      <c r="AG85"/>
      <c r="AH85" s="61" t="s">
        <v>411</v>
      </c>
      <c r="AK85" s="40" t="s">
        <v>354</v>
      </c>
      <c r="AL85" s="32">
        <v>2006</v>
      </c>
      <c r="AM85" s="32" t="s">
        <v>355</v>
      </c>
      <c r="AN85" s="32" t="s">
        <v>356</v>
      </c>
      <c r="AP85" s="35" t="s">
        <v>259</v>
      </c>
    </row>
    <row r="86" spans="1:42" x14ac:dyDescent="0.2">
      <c r="A86" s="40">
        <v>9</v>
      </c>
      <c r="B86" s="40">
        <v>85</v>
      </c>
      <c r="C86" s="40" t="s">
        <v>357</v>
      </c>
      <c r="D86" s="38" t="s">
        <v>165</v>
      </c>
      <c r="E86" s="32" t="s">
        <v>2183</v>
      </c>
      <c r="F86" s="32" t="s">
        <v>237</v>
      </c>
      <c r="G86" s="38" t="s">
        <v>154</v>
      </c>
      <c r="H86" s="32" t="s">
        <v>151</v>
      </c>
      <c r="I86" s="32" t="s">
        <v>243</v>
      </c>
      <c r="J86" s="32" t="s">
        <v>361</v>
      </c>
      <c r="K86" s="32" t="s">
        <v>129</v>
      </c>
      <c r="L86" s="32" t="s">
        <v>30</v>
      </c>
      <c r="M86" s="32" t="s">
        <v>30</v>
      </c>
      <c r="N86" s="40">
        <v>2004</v>
      </c>
      <c r="O86" s="32">
        <f>VLOOKUP(Data!N1309, CPI!$A$2:$B$112, 2, 0)</f>
        <v>218.05600000000001</v>
      </c>
      <c r="P86" s="32" t="s">
        <v>7</v>
      </c>
      <c r="Q86" s="32" t="s">
        <v>239</v>
      </c>
      <c r="R86" s="32" t="s">
        <v>363</v>
      </c>
      <c r="S86" s="32">
        <v>33</v>
      </c>
      <c r="T86" s="32" t="s">
        <v>2494</v>
      </c>
      <c r="Z86" s="38" t="s">
        <v>262</v>
      </c>
      <c r="AA86" s="35" t="s">
        <v>1706</v>
      </c>
      <c r="AB86" s="32">
        <v>17500</v>
      </c>
      <c r="AH86" s="32" t="s">
        <v>397</v>
      </c>
      <c r="AI86" s="32" t="s">
        <v>2268</v>
      </c>
      <c r="AK86" s="40" t="s">
        <v>358</v>
      </c>
      <c r="AL86" s="32">
        <v>2007</v>
      </c>
      <c r="AM86" s="32" t="s">
        <v>359</v>
      </c>
      <c r="AN86" s="32" t="s">
        <v>360</v>
      </c>
      <c r="AP86" s="35" t="s">
        <v>259</v>
      </c>
    </row>
    <row r="87" spans="1:42" x14ac:dyDescent="0.2">
      <c r="A87" s="40">
        <v>10</v>
      </c>
      <c r="B87" s="40">
        <v>86</v>
      </c>
      <c r="C87" s="40" t="s">
        <v>114</v>
      </c>
      <c r="D87" s="38" t="s">
        <v>218</v>
      </c>
      <c r="E87" s="32" t="s">
        <v>2887</v>
      </c>
      <c r="F87" s="32" t="s">
        <v>121</v>
      </c>
      <c r="G87" s="38" t="s">
        <v>123</v>
      </c>
      <c r="H87" s="32" t="s">
        <v>151</v>
      </c>
      <c r="I87" s="32" t="s">
        <v>243</v>
      </c>
      <c r="J87" s="32" t="s">
        <v>368</v>
      </c>
      <c r="K87" s="32" t="s">
        <v>129</v>
      </c>
      <c r="L87" s="32" t="s">
        <v>30</v>
      </c>
      <c r="M87" s="32" t="s">
        <v>30</v>
      </c>
      <c r="N87" s="40">
        <v>2005</v>
      </c>
      <c r="O87" s="32">
        <f>VLOOKUP(Data!N11, CPI!$A$2:$B$112, 2, 0)</f>
        <v>195.3</v>
      </c>
      <c r="P87" s="32" t="s">
        <v>21</v>
      </c>
      <c r="Q87" s="32" t="s">
        <v>239</v>
      </c>
      <c r="R87" s="32" t="s">
        <v>369</v>
      </c>
      <c r="S87" s="32">
        <v>500000</v>
      </c>
      <c r="T87" s="32" t="s">
        <v>305</v>
      </c>
      <c r="U87" s="32">
        <f t="shared" ref="U87:U94" si="2">S87/AB87</f>
        <v>25</v>
      </c>
      <c r="V87" s="32" t="s">
        <v>306</v>
      </c>
      <c r="W87" s="32">
        <f>VLOOKUP(N87, 'Exchange rate-Kenya'!$A$3:$B$65, 2, 0)</f>
        <v>75.554109451431103</v>
      </c>
      <c r="X87" s="32">
        <f t="shared" ref="X87:X94" si="3">U87/W87</f>
        <v>0.33088868602270932</v>
      </c>
      <c r="Y87" s="32">
        <f>(CPI!$B$112/O87)*X87</f>
        <v>0.51620117495734508</v>
      </c>
      <c r="Z87" s="38" t="s">
        <v>303</v>
      </c>
      <c r="AA87" s="35" t="s">
        <v>2499</v>
      </c>
      <c r="AB87" s="32">
        <v>20000</v>
      </c>
      <c r="AC87" s="32" t="s">
        <v>2498</v>
      </c>
      <c r="AG87"/>
      <c r="AH87" s="32" t="s">
        <v>411</v>
      </c>
      <c r="AI87" s="32" t="s">
        <v>2500</v>
      </c>
      <c r="AJ87" s="35" t="s">
        <v>2278</v>
      </c>
      <c r="AK87" s="40" t="s">
        <v>364</v>
      </c>
      <c r="AL87" s="32">
        <v>2008</v>
      </c>
      <c r="AM87" s="32" t="s">
        <v>365</v>
      </c>
      <c r="AN87" s="32" t="s">
        <v>366</v>
      </c>
      <c r="AO87" s="38" t="s">
        <v>367</v>
      </c>
      <c r="AP87" s="35" t="s">
        <v>259</v>
      </c>
    </row>
    <row r="88" spans="1:42" x14ac:dyDescent="0.2">
      <c r="A88" s="40">
        <v>10</v>
      </c>
      <c r="B88" s="40">
        <v>87</v>
      </c>
      <c r="C88" s="40" t="s">
        <v>114</v>
      </c>
      <c r="D88" s="38" t="s">
        <v>218</v>
      </c>
      <c r="E88" s="32" t="s">
        <v>2183</v>
      </c>
      <c r="F88" s="32" t="s">
        <v>244</v>
      </c>
      <c r="G88" s="38" t="s">
        <v>2908</v>
      </c>
      <c r="H88" s="32" t="s">
        <v>151</v>
      </c>
      <c r="I88" s="32" t="s">
        <v>243</v>
      </c>
      <c r="J88" s="32" t="s">
        <v>368</v>
      </c>
      <c r="K88" s="32" t="s">
        <v>129</v>
      </c>
      <c r="L88" s="32" t="s">
        <v>30</v>
      </c>
      <c r="M88" s="32" t="s">
        <v>30</v>
      </c>
      <c r="N88" s="40">
        <v>2005</v>
      </c>
      <c r="O88" s="32">
        <f>VLOOKUP(Data!N12, CPI!$A$2:$B$112, 2, 0)</f>
        <v>195.3</v>
      </c>
      <c r="P88" s="32" t="s">
        <v>21</v>
      </c>
      <c r="Q88" s="32" t="s">
        <v>239</v>
      </c>
      <c r="R88" s="32" t="s">
        <v>370</v>
      </c>
      <c r="S88" s="32">
        <v>600000</v>
      </c>
      <c r="T88" s="32" t="s">
        <v>305</v>
      </c>
      <c r="U88" s="32">
        <f t="shared" si="2"/>
        <v>30</v>
      </c>
      <c r="V88" s="32" t="s">
        <v>306</v>
      </c>
      <c r="W88" s="32">
        <f>VLOOKUP(N88, 'Exchange rate-Kenya'!$A$3:$B$65, 2, 0)</f>
        <v>75.554109451431103</v>
      </c>
      <c r="X88" s="32">
        <f t="shared" si="3"/>
        <v>0.39706642322725116</v>
      </c>
      <c r="Y88" s="32">
        <f>(CPI!$B$112/O88)*X88</f>
        <v>0.61944140994881414</v>
      </c>
      <c r="Z88" s="38" t="s">
        <v>303</v>
      </c>
      <c r="AA88" s="35" t="s">
        <v>2499</v>
      </c>
      <c r="AB88" s="32">
        <v>20000</v>
      </c>
      <c r="AC88" s="32" t="s">
        <v>2498</v>
      </c>
      <c r="AG88"/>
      <c r="AH88" s="32" t="s">
        <v>411</v>
      </c>
      <c r="AI88" s="32" t="s">
        <v>2500</v>
      </c>
      <c r="AJ88" s="35" t="s">
        <v>2278</v>
      </c>
      <c r="AK88" s="40" t="s">
        <v>364</v>
      </c>
      <c r="AL88" s="32">
        <v>2008</v>
      </c>
      <c r="AM88" s="32" t="s">
        <v>365</v>
      </c>
      <c r="AN88" s="32" t="s">
        <v>366</v>
      </c>
      <c r="AO88" s="38" t="s">
        <v>367</v>
      </c>
      <c r="AP88" s="35" t="s">
        <v>259</v>
      </c>
    </row>
    <row r="89" spans="1:42" x14ac:dyDescent="0.2">
      <c r="A89" s="40">
        <v>10</v>
      </c>
      <c r="B89" s="40">
        <v>88</v>
      </c>
      <c r="C89" s="40" t="s">
        <v>114</v>
      </c>
      <c r="D89" s="38" t="s">
        <v>218</v>
      </c>
      <c r="E89" s="32" t="s">
        <v>2183</v>
      </c>
      <c r="F89" s="32" t="s">
        <v>237</v>
      </c>
      <c r="G89" s="38" t="s">
        <v>154</v>
      </c>
      <c r="H89" s="32" t="s">
        <v>151</v>
      </c>
      <c r="I89" s="32" t="s">
        <v>243</v>
      </c>
      <c r="J89" s="32" t="s">
        <v>368</v>
      </c>
      <c r="K89" s="32" t="s">
        <v>129</v>
      </c>
      <c r="L89" s="32" t="s">
        <v>30</v>
      </c>
      <c r="M89" s="32" t="s">
        <v>30</v>
      </c>
      <c r="N89" s="40">
        <v>2005</v>
      </c>
      <c r="O89" s="32">
        <f>VLOOKUP(Data!N13, CPI!$A$2:$B$112, 2, 0)</f>
        <v>195.3</v>
      </c>
      <c r="P89" s="32" t="s">
        <v>21</v>
      </c>
      <c r="Q89" s="32" t="s">
        <v>239</v>
      </c>
      <c r="R89" s="32" t="s">
        <v>371</v>
      </c>
      <c r="S89" s="32">
        <v>500000</v>
      </c>
      <c r="T89" s="32" t="s">
        <v>305</v>
      </c>
      <c r="U89" s="32">
        <f t="shared" si="2"/>
        <v>25</v>
      </c>
      <c r="V89" s="32" t="s">
        <v>306</v>
      </c>
      <c r="W89" s="32">
        <f>VLOOKUP(N89, 'Exchange rate-Kenya'!$A$3:$B$65, 2, 0)</f>
        <v>75.554109451431103</v>
      </c>
      <c r="X89" s="32">
        <f t="shared" si="3"/>
        <v>0.33088868602270932</v>
      </c>
      <c r="Y89" s="32">
        <f>(CPI!$B$112/O89)*X89</f>
        <v>0.51620117495734508</v>
      </c>
      <c r="Z89" s="38" t="s">
        <v>303</v>
      </c>
      <c r="AA89" s="35" t="s">
        <v>2499</v>
      </c>
      <c r="AB89" s="32">
        <v>20000</v>
      </c>
      <c r="AC89" s="32" t="s">
        <v>2498</v>
      </c>
      <c r="AG89"/>
      <c r="AH89" s="32" t="s">
        <v>411</v>
      </c>
      <c r="AI89" s="32" t="s">
        <v>2500</v>
      </c>
      <c r="AJ89" s="35" t="s">
        <v>2278</v>
      </c>
      <c r="AK89" s="40" t="s">
        <v>364</v>
      </c>
      <c r="AL89" s="32">
        <v>2008</v>
      </c>
      <c r="AM89" s="32" t="s">
        <v>365</v>
      </c>
      <c r="AN89" s="32" t="s">
        <v>366</v>
      </c>
      <c r="AO89" s="38" t="s">
        <v>367</v>
      </c>
      <c r="AP89" s="35" t="s">
        <v>259</v>
      </c>
    </row>
    <row r="90" spans="1:42" x14ac:dyDescent="0.2">
      <c r="A90" s="40">
        <v>10</v>
      </c>
      <c r="B90" s="40">
        <v>89</v>
      </c>
      <c r="C90" s="40" t="s">
        <v>114</v>
      </c>
      <c r="D90" s="38" t="s">
        <v>218</v>
      </c>
      <c r="E90" s="32" t="s">
        <v>2186</v>
      </c>
      <c r="F90" s="32" t="s">
        <v>29</v>
      </c>
      <c r="G90" s="38" t="s">
        <v>29</v>
      </c>
      <c r="H90" s="32" t="s">
        <v>151</v>
      </c>
      <c r="I90" s="32" t="s">
        <v>243</v>
      </c>
      <c r="J90" s="32" t="s">
        <v>368</v>
      </c>
      <c r="K90" s="32" t="s">
        <v>129</v>
      </c>
      <c r="L90" s="32" t="s">
        <v>30</v>
      </c>
      <c r="M90" s="32" t="s">
        <v>30</v>
      </c>
      <c r="N90" s="40">
        <v>2005</v>
      </c>
      <c r="O90" s="32">
        <f>VLOOKUP(Data!N14, CPI!$A$2:$B$112, 2, 0)</f>
        <v>195.3</v>
      </c>
      <c r="P90" s="32" t="s">
        <v>21</v>
      </c>
      <c r="Q90" s="32" t="s">
        <v>239</v>
      </c>
      <c r="R90" s="32" t="s">
        <v>372</v>
      </c>
      <c r="S90" s="32">
        <v>250000</v>
      </c>
      <c r="T90" s="32" t="s">
        <v>305</v>
      </c>
      <c r="U90" s="32">
        <f t="shared" si="2"/>
        <v>12.5</v>
      </c>
      <c r="V90" s="32" t="s">
        <v>306</v>
      </c>
      <c r="W90" s="32">
        <f>VLOOKUP(N90, 'Exchange rate-Kenya'!$A$3:$B$65, 2, 0)</f>
        <v>75.554109451431103</v>
      </c>
      <c r="X90" s="32">
        <f t="shared" si="3"/>
        <v>0.16544434301135466</v>
      </c>
      <c r="Y90" s="32">
        <f>(CPI!$B$112/O90)*X90</f>
        <v>0.25810058747867254</v>
      </c>
      <c r="Z90" s="38" t="s">
        <v>303</v>
      </c>
      <c r="AA90" s="35" t="s">
        <v>2499</v>
      </c>
      <c r="AB90" s="32">
        <v>20000</v>
      </c>
      <c r="AC90" s="32" t="s">
        <v>2498</v>
      </c>
      <c r="AG90"/>
      <c r="AH90" s="32" t="s">
        <v>411</v>
      </c>
      <c r="AI90" s="32" t="s">
        <v>2500</v>
      </c>
      <c r="AJ90" s="35" t="s">
        <v>2278</v>
      </c>
      <c r="AK90" s="40" t="s">
        <v>364</v>
      </c>
      <c r="AL90" s="32">
        <v>2008</v>
      </c>
      <c r="AM90" s="32" t="s">
        <v>365</v>
      </c>
      <c r="AN90" s="32" t="s">
        <v>366</v>
      </c>
      <c r="AO90" s="38" t="s">
        <v>367</v>
      </c>
      <c r="AP90" s="35" t="s">
        <v>259</v>
      </c>
    </row>
    <row r="91" spans="1:42" x14ac:dyDescent="0.2">
      <c r="A91" s="40">
        <v>10</v>
      </c>
      <c r="B91" s="40">
        <v>90</v>
      </c>
      <c r="C91" s="40" t="s">
        <v>114</v>
      </c>
      <c r="D91" s="38" t="s">
        <v>218</v>
      </c>
      <c r="E91" s="32" t="s">
        <v>2186</v>
      </c>
      <c r="F91" s="32" t="s">
        <v>29</v>
      </c>
      <c r="G91" s="38" t="s">
        <v>29</v>
      </c>
      <c r="H91" s="32" t="s">
        <v>151</v>
      </c>
      <c r="I91" s="32" t="s">
        <v>243</v>
      </c>
      <c r="J91" s="32" t="s">
        <v>368</v>
      </c>
      <c r="K91" s="32" t="s">
        <v>129</v>
      </c>
      <c r="L91" s="32" t="s">
        <v>30</v>
      </c>
      <c r="M91" s="32" t="s">
        <v>30</v>
      </c>
      <c r="N91" s="40">
        <v>2005</v>
      </c>
      <c r="O91" s="32">
        <f>VLOOKUP(Data!N15, CPI!$A$2:$B$112, 2, 0)</f>
        <v>195.3</v>
      </c>
      <c r="P91" s="32" t="s">
        <v>21</v>
      </c>
      <c r="Q91" s="32" t="s">
        <v>239</v>
      </c>
      <c r="R91" s="32" t="s">
        <v>373</v>
      </c>
      <c r="S91" s="32">
        <v>100000000</v>
      </c>
      <c r="T91" s="32" t="s">
        <v>305</v>
      </c>
      <c r="U91" s="32">
        <f t="shared" si="2"/>
        <v>5000</v>
      </c>
      <c r="V91" s="32" t="s">
        <v>306</v>
      </c>
      <c r="W91" s="32">
        <f>VLOOKUP(N91, 'Exchange rate-Kenya'!$A$3:$B$65, 2, 0)</f>
        <v>75.554109451431103</v>
      </c>
      <c r="X91" s="32">
        <f t="shared" si="3"/>
        <v>66.177737204541856</v>
      </c>
      <c r="Y91" s="32">
        <f>(CPI!$B$112/O91)*X91</f>
        <v>103.24023499146901</v>
      </c>
      <c r="Z91" s="38" t="s">
        <v>303</v>
      </c>
      <c r="AA91" s="35" t="s">
        <v>2499</v>
      </c>
      <c r="AB91" s="32">
        <v>20000</v>
      </c>
      <c r="AC91" s="32" t="s">
        <v>2498</v>
      </c>
      <c r="AG91"/>
      <c r="AH91" s="32" t="s">
        <v>411</v>
      </c>
      <c r="AI91" s="32" t="s">
        <v>2500</v>
      </c>
      <c r="AJ91" s="35" t="s">
        <v>2278</v>
      </c>
      <c r="AK91" s="40" t="s">
        <v>364</v>
      </c>
      <c r="AL91" s="32">
        <v>2008</v>
      </c>
      <c r="AM91" s="32" t="s">
        <v>365</v>
      </c>
      <c r="AN91" s="32" t="s">
        <v>366</v>
      </c>
      <c r="AO91" s="38" t="s">
        <v>367</v>
      </c>
      <c r="AP91" s="35" t="s">
        <v>259</v>
      </c>
    </row>
    <row r="92" spans="1:42" x14ac:dyDescent="0.2">
      <c r="A92" s="40">
        <v>10</v>
      </c>
      <c r="B92" s="40">
        <v>91</v>
      </c>
      <c r="C92" s="40" t="s">
        <v>114</v>
      </c>
      <c r="D92" s="38" t="s">
        <v>218</v>
      </c>
      <c r="E92" s="32" t="s">
        <v>2183</v>
      </c>
      <c r="F92" s="32" t="s">
        <v>237</v>
      </c>
      <c r="G92" s="54" t="s">
        <v>1923</v>
      </c>
      <c r="H92" s="32" t="s">
        <v>151</v>
      </c>
      <c r="I92" s="32" t="s">
        <v>243</v>
      </c>
      <c r="J92" s="32" t="s">
        <v>368</v>
      </c>
      <c r="K92" s="32" t="s">
        <v>129</v>
      </c>
      <c r="L92" s="32" t="s">
        <v>30</v>
      </c>
      <c r="M92" s="32" t="s">
        <v>30</v>
      </c>
      <c r="N92" s="40">
        <v>2005</v>
      </c>
      <c r="O92" s="32">
        <f>VLOOKUP(Data!N16, CPI!$A$2:$B$112, 2, 0)</f>
        <v>195.3</v>
      </c>
      <c r="P92" s="32" t="s">
        <v>21</v>
      </c>
      <c r="Q92" s="32" t="s">
        <v>239</v>
      </c>
      <c r="R92" s="32" t="s">
        <v>2495</v>
      </c>
      <c r="S92" s="32">
        <v>150000</v>
      </c>
      <c r="T92" s="32" t="s">
        <v>305</v>
      </c>
      <c r="U92" s="32">
        <f t="shared" si="2"/>
        <v>7.5</v>
      </c>
      <c r="V92" s="32" t="s">
        <v>306</v>
      </c>
      <c r="W92" s="32">
        <f>VLOOKUP(N92, 'Exchange rate-Kenya'!$A$3:$B$65, 2, 0)</f>
        <v>75.554109451431103</v>
      </c>
      <c r="X92" s="32">
        <f t="shared" si="3"/>
        <v>9.9266605806812791E-2</v>
      </c>
      <c r="Y92" s="32">
        <f>(CPI!$B$112/O92)*X92</f>
        <v>0.15486035248720353</v>
      </c>
      <c r="Z92" s="38" t="s">
        <v>303</v>
      </c>
      <c r="AA92" s="35" t="s">
        <v>2499</v>
      </c>
      <c r="AB92" s="32">
        <v>20000</v>
      </c>
      <c r="AC92" s="32" t="s">
        <v>2498</v>
      </c>
      <c r="AG92"/>
      <c r="AH92" s="32" t="s">
        <v>411</v>
      </c>
      <c r="AI92" s="32" t="s">
        <v>2500</v>
      </c>
      <c r="AJ92" s="35" t="s">
        <v>2278</v>
      </c>
      <c r="AK92" s="40" t="s">
        <v>364</v>
      </c>
      <c r="AL92" s="32">
        <v>2008</v>
      </c>
      <c r="AM92" s="32" t="s">
        <v>365</v>
      </c>
      <c r="AN92" s="32" t="s">
        <v>366</v>
      </c>
      <c r="AO92" s="38" t="s">
        <v>367</v>
      </c>
      <c r="AP92" s="35" t="s">
        <v>259</v>
      </c>
    </row>
    <row r="93" spans="1:42" x14ac:dyDescent="0.2">
      <c r="A93" s="40">
        <v>10</v>
      </c>
      <c r="B93" s="40">
        <v>92</v>
      </c>
      <c r="C93" s="40" t="s">
        <v>114</v>
      </c>
      <c r="D93" s="38" t="s">
        <v>218</v>
      </c>
      <c r="E93" s="32" t="s">
        <v>2186</v>
      </c>
      <c r="F93" s="32" t="s">
        <v>29</v>
      </c>
      <c r="G93" s="38" t="s">
        <v>29</v>
      </c>
      <c r="H93" s="32" t="s">
        <v>151</v>
      </c>
      <c r="I93" s="32" t="s">
        <v>243</v>
      </c>
      <c r="J93" s="32" t="s">
        <v>368</v>
      </c>
      <c r="K93" s="32" t="s">
        <v>129</v>
      </c>
      <c r="L93" s="32" t="s">
        <v>30</v>
      </c>
      <c r="M93" s="32" t="s">
        <v>30</v>
      </c>
      <c r="N93" s="40">
        <v>2005</v>
      </c>
      <c r="O93" s="32">
        <f>VLOOKUP(Data!N17, CPI!$A$2:$B$112, 2, 0)</f>
        <v>195.3</v>
      </c>
      <c r="P93" s="32" t="s">
        <v>21</v>
      </c>
      <c r="Q93" s="32" t="s">
        <v>239</v>
      </c>
      <c r="R93" s="32" t="s">
        <v>2496</v>
      </c>
      <c r="S93" s="32">
        <v>1450000000</v>
      </c>
      <c r="T93" s="32" t="s">
        <v>305</v>
      </c>
      <c r="U93" s="32">
        <f t="shared" si="2"/>
        <v>72500</v>
      </c>
      <c r="V93" s="32" t="s">
        <v>306</v>
      </c>
      <c r="W93" s="32">
        <f>VLOOKUP(N93, 'Exchange rate-Kenya'!$A$3:$B$65, 2, 0)</f>
        <v>75.554109451431103</v>
      </c>
      <c r="X93" s="32">
        <f t="shared" si="3"/>
        <v>959.57718946585703</v>
      </c>
      <c r="Y93" s="32">
        <f>(CPI!$B$112/O93)*X93</f>
        <v>1496.9834073763009</v>
      </c>
      <c r="Z93" s="38" t="s">
        <v>303</v>
      </c>
      <c r="AA93" s="35" t="s">
        <v>2499</v>
      </c>
      <c r="AB93" s="32">
        <v>20000</v>
      </c>
      <c r="AC93" s="32" t="s">
        <v>2498</v>
      </c>
      <c r="AG93"/>
      <c r="AH93" s="32" t="s">
        <v>411</v>
      </c>
      <c r="AI93" s="32" t="s">
        <v>2500</v>
      </c>
      <c r="AJ93" s="35" t="s">
        <v>2278</v>
      </c>
      <c r="AK93" s="40" t="s">
        <v>364</v>
      </c>
      <c r="AL93" s="32">
        <v>2008</v>
      </c>
      <c r="AM93" s="32" t="s">
        <v>365</v>
      </c>
      <c r="AN93" s="32" t="s">
        <v>366</v>
      </c>
      <c r="AO93" s="38" t="s">
        <v>367</v>
      </c>
      <c r="AP93" s="35" t="s">
        <v>259</v>
      </c>
    </row>
    <row r="94" spans="1:42" x14ac:dyDescent="0.2">
      <c r="A94" s="40">
        <v>10</v>
      </c>
      <c r="B94" s="40">
        <v>93</v>
      </c>
      <c r="C94" s="40" t="s">
        <v>114</v>
      </c>
      <c r="D94" s="38" t="s">
        <v>218</v>
      </c>
      <c r="E94" s="32" t="s">
        <v>2186</v>
      </c>
      <c r="F94" s="32" t="s">
        <v>29</v>
      </c>
      <c r="G94" s="38" t="s">
        <v>29</v>
      </c>
      <c r="H94" s="32" t="s">
        <v>151</v>
      </c>
      <c r="I94" s="32" t="s">
        <v>243</v>
      </c>
      <c r="J94" s="32" t="s">
        <v>368</v>
      </c>
      <c r="K94" s="32" t="s">
        <v>129</v>
      </c>
      <c r="L94" s="32" t="s">
        <v>30</v>
      </c>
      <c r="M94" s="32" t="s">
        <v>30</v>
      </c>
      <c r="N94" s="40">
        <v>2005</v>
      </c>
      <c r="O94" s="32">
        <f>VLOOKUP(Data!N18, CPI!$A$2:$B$112, 2, 0)</f>
        <v>195.3</v>
      </c>
      <c r="P94" s="32" t="s">
        <v>21</v>
      </c>
      <c r="Q94" s="32" t="s">
        <v>239</v>
      </c>
      <c r="R94" s="32" t="s">
        <v>2497</v>
      </c>
      <c r="S94" s="32">
        <v>3700000000</v>
      </c>
      <c r="T94" s="32" t="s">
        <v>305</v>
      </c>
      <c r="U94" s="32">
        <f t="shared" si="2"/>
        <v>185000</v>
      </c>
      <c r="V94" s="32" t="s">
        <v>306</v>
      </c>
      <c r="W94" s="32">
        <f>VLOOKUP(N94, 'Exchange rate-Kenya'!$A$3:$B$65, 2, 0)</f>
        <v>75.554109451431103</v>
      </c>
      <c r="X94" s="32">
        <f t="shared" si="3"/>
        <v>2448.5762765680488</v>
      </c>
      <c r="Y94" s="32">
        <f>(CPI!$B$112/O94)*X94</f>
        <v>3819.8886946843536</v>
      </c>
      <c r="Z94" s="38" t="s">
        <v>303</v>
      </c>
      <c r="AA94" s="35" t="s">
        <v>2499</v>
      </c>
      <c r="AB94" s="32">
        <v>20000</v>
      </c>
      <c r="AC94" s="32" t="s">
        <v>2498</v>
      </c>
      <c r="AG94"/>
      <c r="AH94" s="32" t="s">
        <v>411</v>
      </c>
      <c r="AI94" s="32" t="s">
        <v>2500</v>
      </c>
      <c r="AJ94" s="35" t="s">
        <v>2278</v>
      </c>
      <c r="AK94" s="40" t="s">
        <v>364</v>
      </c>
      <c r="AL94" s="32">
        <v>2008</v>
      </c>
      <c r="AM94" s="32" t="s">
        <v>365</v>
      </c>
      <c r="AN94" s="32" t="s">
        <v>366</v>
      </c>
      <c r="AO94" s="38" t="s">
        <v>367</v>
      </c>
      <c r="AP94" s="35" t="s">
        <v>259</v>
      </c>
    </row>
    <row r="95" spans="1:42" x14ac:dyDescent="0.2">
      <c r="A95" s="40">
        <v>11</v>
      </c>
      <c r="B95" s="40">
        <v>94</v>
      </c>
      <c r="C95" s="40" t="s">
        <v>149</v>
      </c>
      <c r="D95" s="38" t="s">
        <v>148</v>
      </c>
      <c r="E95" s="32" t="s">
        <v>2887</v>
      </c>
      <c r="F95" s="32" t="s">
        <v>52</v>
      </c>
      <c r="G95" s="38" t="s">
        <v>57</v>
      </c>
      <c r="I95" s="32" t="s">
        <v>243</v>
      </c>
      <c r="J95" s="32" t="s">
        <v>348</v>
      </c>
      <c r="K95" s="32" t="s">
        <v>129</v>
      </c>
      <c r="L95" s="32" t="s">
        <v>30</v>
      </c>
      <c r="M95" s="32" t="s">
        <v>30</v>
      </c>
      <c r="N95" s="40">
        <v>2006</v>
      </c>
      <c r="O95" s="32">
        <f>VLOOKUP(Data!N206, CPI!$A$2:$B$112, 2, 0)</f>
        <v>232.95699999999999</v>
      </c>
      <c r="P95" s="32" t="s">
        <v>21</v>
      </c>
      <c r="Q95" s="32" t="s">
        <v>239</v>
      </c>
      <c r="R95" s="32" t="s">
        <v>2506</v>
      </c>
      <c r="S95" s="32">
        <v>184.4</v>
      </c>
      <c r="T95" s="32" t="s">
        <v>316</v>
      </c>
      <c r="U95" s="32">
        <v>184.4</v>
      </c>
      <c r="V95" s="32" t="s">
        <v>316</v>
      </c>
      <c r="X95" s="32">
        <v>184.4</v>
      </c>
      <c r="Y95" s="32">
        <f>(CPI!$B$112/O95)*X95</f>
        <v>241.17065681649404</v>
      </c>
      <c r="Z95" s="38" t="s">
        <v>262</v>
      </c>
      <c r="AA95" s="35" t="s">
        <v>2513</v>
      </c>
      <c r="AB95" s="32">
        <v>620</v>
      </c>
      <c r="AC95" s="35" t="s">
        <v>2513</v>
      </c>
      <c r="AH95" s="32" t="s">
        <v>411</v>
      </c>
      <c r="AI95" s="32" t="s">
        <v>2511</v>
      </c>
      <c r="AK95" s="40" t="s">
        <v>375</v>
      </c>
      <c r="AL95" s="32">
        <v>2011</v>
      </c>
      <c r="AM95" s="32" t="s">
        <v>376</v>
      </c>
      <c r="AN95" s="32" t="s">
        <v>377</v>
      </c>
      <c r="AO95" s="38" t="s">
        <v>382</v>
      </c>
      <c r="AP95" s="35" t="s">
        <v>259</v>
      </c>
    </row>
    <row r="96" spans="1:42" x14ac:dyDescent="0.2">
      <c r="A96" s="40">
        <v>11</v>
      </c>
      <c r="B96" s="40">
        <v>95</v>
      </c>
      <c r="C96" s="40" t="s">
        <v>149</v>
      </c>
      <c r="D96" s="38" t="s">
        <v>148</v>
      </c>
      <c r="E96" s="32" t="s">
        <v>2183</v>
      </c>
      <c r="F96" s="32" t="s">
        <v>237</v>
      </c>
      <c r="G96" s="38" t="s">
        <v>154</v>
      </c>
      <c r="I96" s="32" t="s">
        <v>243</v>
      </c>
      <c r="J96" s="32" t="s">
        <v>348</v>
      </c>
      <c r="K96" s="32" t="s">
        <v>129</v>
      </c>
      <c r="L96" s="32" t="s">
        <v>30</v>
      </c>
      <c r="M96" s="32" t="s">
        <v>30</v>
      </c>
      <c r="N96" s="40">
        <v>2006</v>
      </c>
      <c r="O96" s="32">
        <f>VLOOKUP(Data!N207, CPI!$A$2:$B$112, 2, 0)</f>
        <v>232.95699999999999</v>
      </c>
      <c r="P96" s="32" t="s">
        <v>7</v>
      </c>
      <c r="Q96" s="32" t="s">
        <v>239</v>
      </c>
      <c r="R96" s="32" t="s">
        <v>2503</v>
      </c>
      <c r="S96" s="32">
        <v>44</v>
      </c>
      <c r="T96" s="32" t="s">
        <v>316</v>
      </c>
      <c r="U96" s="32">
        <v>44</v>
      </c>
      <c r="V96" s="32" t="s">
        <v>316</v>
      </c>
      <c r="X96" s="32">
        <v>44</v>
      </c>
      <c r="Y96" s="32">
        <f>(CPI!$B$112/O96)*X96</f>
        <v>57.546143708924831</v>
      </c>
      <c r="Z96" s="38" t="s">
        <v>262</v>
      </c>
      <c r="AA96" s="35" t="s">
        <v>2513</v>
      </c>
      <c r="AB96" s="32">
        <v>620</v>
      </c>
      <c r="AC96" s="35" t="s">
        <v>2513</v>
      </c>
      <c r="AH96" s="32" t="s">
        <v>411</v>
      </c>
      <c r="AK96" s="40" t="s">
        <v>375</v>
      </c>
      <c r="AL96" s="32">
        <v>2011</v>
      </c>
      <c r="AM96" s="32" t="s">
        <v>376</v>
      </c>
      <c r="AN96" s="32" t="s">
        <v>377</v>
      </c>
      <c r="AO96" s="38" t="s">
        <v>378</v>
      </c>
      <c r="AP96" s="35" t="s">
        <v>259</v>
      </c>
    </row>
    <row r="97" spans="1:42" x14ac:dyDescent="0.2">
      <c r="A97" s="40">
        <v>11</v>
      </c>
      <c r="B97" s="40">
        <v>96</v>
      </c>
      <c r="C97" s="40" t="s">
        <v>149</v>
      </c>
      <c r="D97" s="38" t="s">
        <v>148</v>
      </c>
      <c r="E97" s="32" t="s">
        <v>2183</v>
      </c>
      <c r="F97" s="32" t="s">
        <v>126</v>
      </c>
      <c r="G97" s="54" t="s">
        <v>152</v>
      </c>
      <c r="I97" s="32" t="s">
        <v>243</v>
      </c>
      <c r="J97" s="32" t="s">
        <v>348</v>
      </c>
      <c r="K97" s="32" t="s">
        <v>129</v>
      </c>
      <c r="L97" s="32" t="s">
        <v>30</v>
      </c>
      <c r="M97" s="32" t="s">
        <v>30</v>
      </c>
      <c r="N97" s="40">
        <v>2006</v>
      </c>
      <c r="O97" s="32">
        <f>VLOOKUP(Data!N208, CPI!$A$2:$B$112, 2, 0)</f>
        <v>232.95699999999999</v>
      </c>
      <c r="P97" s="32" t="s">
        <v>238</v>
      </c>
      <c r="Q97" s="32" t="s">
        <v>239</v>
      </c>
      <c r="R97" s="32" t="s">
        <v>2510</v>
      </c>
      <c r="S97" s="32">
        <v>20.8</v>
      </c>
      <c r="T97" s="32" t="s">
        <v>316</v>
      </c>
      <c r="U97" s="32">
        <v>20.8</v>
      </c>
      <c r="V97" s="32" t="s">
        <v>316</v>
      </c>
      <c r="X97" s="32">
        <v>20.8</v>
      </c>
      <c r="Y97" s="32">
        <f>(CPI!$B$112/O97)*X97</f>
        <v>27.203631571491737</v>
      </c>
      <c r="Z97" s="38" t="s">
        <v>262</v>
      </c>
      <c r="AA97" s="35" t="s">
        <v>2513</v>
      </c>
      <c r="AB97" s="32">
        <v>620</v>
      </c>
      <c r="AC97" s="35" t="s">
        <v>2513</v>
      </c>
      <c r="AH97" s="32" t="s">
        <v>411</v>
      </c>
      <c r="AK97" s="40" t="s">
        <v>375</v>
      </c>
      <c r="AL97" s="32">
        <v>2011</v>
      </c>
      <c r="AM97" s="32" t="s">
        <v>376</v>
      </c>
      <c r="AN97" s="32" t="s">
        <v>377</v>
      </c>
      <c r="AO97" s="38" t="s">
        <v>379</v>
      </c>
      <c r="AP97" s="35" t="s">
        <v>259</v>
      </c>
    </row>
    <row r="98" spans="1:42" x14ac:dyDescent="0.2">
      <c r="A98" s="40">
        <v>11</v>
      </c>
      <c r="B98" s="40">
        <v>97</v>
      </c>
      <c r="C98" s="40" t="s">
        <v>149</v>
      </c>
      <c r="D98" s="38" t="s">
        <v>148</v>
      </c>
      <c r="E98" s="32" t="s">
        <v>2183</v>
      </c>
      <c r="F98" s="32" t="s">
        <v>126</v>
      </c>
      <c r="G98" s="38" t="s">
        <v>127</v>
      </c>
      <c r="I98" s="32" t="s">
        <v>243</v>
      </c>
      <c r="J98" s="32" t="s">
        <v>348</v>
      </c>
      <c r="K98" s="32" t="s">
        <v>129</v>
      </c>
      <c r="L98" s="32" t="s">
        <v>30</v>
      </c>
      <c r="M98" s="32" t="s">
        <v>30</v>
      </c>
      <c r="N98" s="40">
        <v>2006</v>
      </c>
      <c r="O98" s="32">
        <f>VLOOKUP(Data!N209, CPI!$A$2:$B$112, 2, 0)</f>
        <v>232.95699999999999</v>
      </c>
      <c r="P98" s="32" t="s">
        <v>238</v>
      </c>
      <c r="Q98" s="32" t="s">
        <v>239</v>
      </c>
      <c r="R98" s="32" t="s">
        <v>2504</v>
      </c>
      <c r="S98" s="32">
        <v>14.7</v>
      </c>
      <c r="T98" s="32" t="s">
        <v>316</v>
      </c>
      <c r="U98" s="32">
        <v>14.7</v>
      </c>
      <c r="V98" s="32" t="s">
        <v>316</v>
      </c>
      <c r="X98" s="32">
        <v>14.7</v>
      </c>
      <c r="Y98" s="32">
        <f>(CPI!$B$112/O98)*X98</f>
        <v>19.225643466390792</v>
      </c>
      <c r="Z98" s="38" t="s">
        <v>262</v>
      </c>
      <c r="AA98" s="35" t="s">
        <v>2513</v>
      </c>
      <c r="AB98" s="32">
        <v>620</v>
      </c>
      <c r="AC98" s="35" t="s">
        <v>2513</v>
      </c>
      <c r="AH98" s="32" t="s">
        <v>411</v>
      </c>
      <c r="AK98" s="40" t="s">
        <v>375</v>
      </c>
      <c r="AL98" s="32">
        <v>2011</v>
      </c>
      <c r="AM98" s="32" t="s">
        <v>376</v>
      </c>
      <c r="AN98" s="32" t="s">
        <v>377</v>
      </c>
      <c r="AO98" s="38" t="s">
        <v>380</v>
      </c>
      <c r="AP98" s="35" t="s">
        <v>259</v>
      </c>
    </row>
    <row r="99" spans="1:42" x14ac:dyDescent="0.2">
      <c r="A99" s="40">
        <v>11</v>
      </c>
      <c r="B99" s="40">
        <v>98</v>
      </c>
      <c r="C99" s="40" t="s">
        <v>149</v>
      </c>
      <c r="D99" s="38" t="s">
        <v>148</v>
      </c>
      <c r="E99" s="32" t="s">
        <v>2183</v>
      </c>
      <c r="F99" s="32" t="s">
        <v>237</v>
      </c>
      <c r="G99" s="38" t="s">
        <v>154</v>
      </c>
      <c r="I99" s="32" t="s">
        <v>243</v>
      </c>
      <c r="J99" s="32" t="s">
        <v>348</v>
      </c>
      <c r="K99" s="32" t="s">
        <v>129</v>
      </c>
      <c r="L99" s="32" t="s">
        <v>30</v>
      </c>
      <c r="M99" s="32" t="s">
        <v>30</v>
      </c>
      <c r="N99" s="40">
        <v>2006</v>
      </c>
      <c r="O99" s="32">
        <f>VLOOKUP(Data!N210, CPI!$A$2:$B$112, 2, 0)</f>
        <v>232.95699999999999</v>
      </c>
      <c r="P99" s="32" t="s">
        <v>7</v>
      </c>
      <c r="Q99" s="32" t="s">
        <v>239</v>
      </c>
      <c r="R99" s="32" t="s">
        <v>2505</v>
      </c>
      <c r="S99" s="32">
        <v>4.8</v>
      </c>
      <c r="T99" s="32" t="s">
        <v>316</v>
      </c>
      <c r="U99" s="32">
        <v>4.8</v>
      </c>
      <c r="V99" s="32" t="s">
        <v>316</v>
      </c>
      <c r="X99" s="32">
        <v>4.8</v>
      </c>
      <c r="Y99" s="32">
        <f>(CPI!$B$112/O99)*X99</f>
        <v>6.2777611318827082</v>
      </c>
      <c r="Z99" s="38" t="s">
        <v>262</v>
      </c>
      <c r="AA99" s="35" t="s">
        <v>2513</v>
      </c>
      <c r="AB99" s="32">
        <v>620</v>
      </c>
      <c r="AC99" s="35" t="s">
        <v>2513</v>
      </c>
      <c r="AH99" s="32" t="s">
        <v>411</v>
      </c>
      <c r="AK99" s="40" t="s">
        <v>375</v>
      </c>
      <c r="AL99" s="32">
        <v>2011</v>
      </c>
      <c r="AM99" s="32" t="s">
        <v>376</v>
      </c>
      <c r="AN99" s="32" t="s">
        <v>377</v>
      </c>
      <c r="AO99" s="38" t="s">
        <v>381</v>
      </c>
      <c r="AP99" s="35" t="s">
        <v>259</v>
      </c>
    </row>
    <row r="100" spans="1:42" x14ac:dyDescent="0.2">
      <c r="A100" s="40">
        <v>11</v>
      </c>
      <c r="B100" s="40">
        <v>99</v>
      </c>
      <c r="C100" s="40" t="s">
        <v>149</v>
      </c>
      <c r="D100" s="38" t="s">
        <v>148</v>
      </c>
      <c r="E100" s="32" t="s">
        <v>2887</v>
      </c>
      <c r="F100" s="32" t="s">
        <v>121</v>
      </c>
      <c r="G100" s="32" t="s">
        <v>123</v>
      </c>
      <c r="I100" s="32" t="s">
        <v>243</v>
      </c>
      <c r="J100" s="32" t="s">
        <v>348</v>
      </c>
      <c r="K100" s="32" t="s">
        <v>129</v>
      </c>
      <c r="L100" s="32" t="s">
        <v>30</v>
      </c>
      <c r="M100" s="32" t="s">
        <v>30</v>
      </c>
      <c r="N100" s="40">
        <v>2006</v>
      </c>
      <c r="O100" s="32">
        <f>VLOOKUP(Data!N211, CPI!$A$2:$B$112, 2, 0)</f>
        <v>232.95699999999999</v>
      </c>
      <c r="P100" s="32" t="s">
        <v>238</v>
      </c>
      <c r="Q100" s="32" t="s">
        <v>239</v>
      </c>
      <c r="R100" s="32" t="s">
        <v>2507</v>
      </c>
      <c r="S100" s="32">
        <v>6.5</v>
      </c>
      <c r="T100" s="32" t="s">
        <v>316</v>
      </c>
      <c r="U100" s="32">
        <v>6.5</v>
      </c>
      <c r="V100" s="32" t="s">
        <v>316</v>
      </c>
      <c r="X100" s="32">
        <v>6.5</v>
      </c>
      <c r="Y100" s="32">
        <f>(CPI!$B$112/O100)*X100</f>
        <v>8.5011348660911672</v>
      </c>
      <c r="Z100" s="38" t="s">
        <v>262</v>
      </c>
      <c r="AA100" s="35" t="s">
        <v>2513</v>
      </c>
      <c r="AB100" s="32">
        <v>620</v>
      </c>
      <c r="AC100" s="35" t="s">
        <v>2513</v>
      </c>
      <c r="AH100" s="32" t="s">
        <v>411</v>
      </c>
      <c r="AK100" s="40" t="s">
        <v>375</v>
      </c>
      <c r="AL100" s="32">
        <v>2011</v>
      </c>
      <c r="AM100" s="32" t="s">
        <v>376</v>
      </c>
      <c r="AN100" s="32" t="s">
        <v>377</v>
      </c>
      <c r="AO100" s="38" t="s">
        <v>383</v>
      </c>
      <c r="AP100" s="35" t="s">
        <v>259</v>
      </c>
    </row>
    <row r="101" spans="1:42" x14ac:dyDescent="0.2">
      <c r="A101" s="40">
        <v>11</v>
      </c>
      <c r="B101" s="40">
        <v>100</v>
      </c>
      <c r="C101" s="40" t="s">
        <v>149</v>
      </c>
      <c r="D101" s="38" t="s">
        <v>148</v>
      </c>
      <c r="E101" s="32" t="s">
        <v>2184</v>
      </c>
      <c r="F101" s="32" t="s">
        <v>131</v>
      </c>
      <c r="G101" s="38" t="s">
        <v>133</v>
      </c>
      <c r="I101" s="32" t="s">
        <v>243</v>
      </c>
      <c r="J101" s="32" t="s">
        <v>348</v>
      </c>
      <c r="K101" s="32" t="s">
        <v>129</v>
      </c>
      <c r="L101" s="32" t="s">
        <v>30</v>
      </c>
      <c r="M101" s="32" t="s">
        <v>30</v>
      </c>
      <c r="N101" s="40">
        <v>2006</v>
      </c>
      <c r="O101" s="32">
        <f>VLOOKUP(Data!N212, CPI!$A$2:$B$112, 2, 0)</f>
        <v>232.95699999999999</v>
      </c>
      <c r="P101" s="32" t="s">
        <v>238</v>
      </c>
      <c r="Q101" s="32" t="s">
        <v>239</v>
      </c>
      <c r="R101" s="32" t="s">
        <v>2508</v>
      </c>
      <c r="S101" s="32">
        <v>126</v>
      </c>
      <c r="T101" s="32" t="s">
        <v>316</v>
      </c>
      <c r="U101" s="32">
        <v>126</v>
      </c>
      <c r="V101" s="32" t="s">
        <v>316</v>
      </c>
      <c r="X101" s="32">
        <v>126</v>
      </c>
      <c r="Y101" s="32">
        <f>(CPI!$B$112/O101)*X101</f>
        <v>164.79122971192109</v>
      </c>
      <c r="Z101" s="38" t="s">
        <v>262</v>
      </c>
      <c r="AA101" s="35" t="s">
        <v>2513</v>
      </c>
      <c r="AB101" s="32">
        <v>620</v>
      </c>
      <c r="AC101" s="35" t="s">
        <v>2513</v>
      </c>
      <c r="AH101" s="32" t="s">
        <v>411</v>
      </c>
      <c r="AK101" s="40" t="s">
        <v>375</v>
      </c>
      <c r="AL101" s="32">
        <v>2011</v>
      </c>
      <c r="AM101" s="32" t="s">
        <v>376</v>
      </c>
      <c r="AN101" s="32" t="s">
        <v>377</v>
      </c>
      <c r="AO101" s="38" t="s">
        <v>378</v>
      </c>
      <c r="AP101" s="35" t="s">
        <v>259</v>
      </c>
    </row>
    <row r="102" spans="1:42" x14ac:dyDescent="0.2">
      <c r="A102" s="40">
        <v>11</v>
      </c>
      <c r="B102" s="40">
        <v>101</v>
      </c>
      <c r="C102" s="40" t="s">
        <v>149</v>
      </c>
      <c r="D102" s="38" t="s">
        <v>148</v>
      </c>
      <c r="E102" s="32" t="s">
        <v>2184</v>
      </c>
      <c r="F102" s="32" t="s">
        <v>145</v>
      </c>
      <c r="G102" s="54" t="s">
        <v>146</v>
      </c>
      <c r="I102" s="32" t="s">
        <v>243</v>
      </c>
      <c r="J102" s="32" t="s">
        <v>348</v>
      </c>
      <c r="K102" s="32" t="s">
        <v>129</v>
      </c>
      <c r="L102" s="32" t="s">
        <v>30</v>
      </c>
      <c r="M102" s="32" t="s">
        <v>30</v>
      </c>
      <c r="N102" s="40">
        <v>2006</v>
      </c>
      <c r="O102" s="32">
        <f>VLOOKUP(Data!N213, CPI!$A$2:$B$112, 2, 0)</f>
        <v>232.95699999999999</v>
      </c>
      <c r="P102" s="32" t="s">
        <v>27</v>
      </c>
      <c r="Q102" s="32" t="s">
        <v>239</v>
      </c>
      <c r="R102" s="32" t="s">
        <v>2509</v>
      </c>
      <c r="S102" s="32">
        <v>91.7</v>
      </c>
      <c r="T102" s="32" t="s">
        <v>316</v>
      </c>
      <c r="U102" s="32">
        <v>91.7</v>
      </c>
      <c r="V102" s="32" t="s">
        <v>316</v>
      </c>
      <c r="X102" s="32">
        <v>91.7</v>
      </c>
      <c r="Y102" s="32">
        <f>(CPI!$B$112/O102)*X102</f>
        <v>119.93139495700925</v>
      </c>
      <c r="Z102" s="38" t="s">
        <v>262</v>
      </c>
      <c r="AA102" s="35" t="s">
        <v>2513</v>
      </c>
      <c r="AB102" s="32">
        <v>620</v>
      </c>
      <c r="AC102" s="35" t="s">
        <v>2513</v>
      </c>
      <c r="AH102" s="32" t="s">
        <v>411</v>
      </c>
      <c r="AK102" s="40" t="s">
        <v>375</v>
      </c>
      <c r="AL102" s="32">
        <v>2011</v>
      </c>
      <c r="AM102" s="32" t="s">
        <v>376</v>
      </c>
      <c r="AN102" s="32" t="s">
        <v>377</v>
      </c>
      <c r="AO102" s="38" t="s">
        <v>379</v>
      </c>
      <c r="AP102" s="35" t="s">
        <v>259</v>
      </c>
    </row>
    <row r="103" spans="1:42" x14ac:dyDescent="0.2">
      <c r="A103" s="40">
        <v>11</v>
      </c>
      <c r="B103" s="40">
        <v>102</v>
      </c>
      <c r="C103" s="40" t="s">
        <v>149</v>
      </c>
      <c r="D103" s="38" t="s">
        <v>148</v>
      </c>
      <c r="E103" s="32" t="s">
        <v>2185</v>
      </c>
      <c r="F103" s="32" t="s">
        <v>2894</v>
      </c>
      <c r="G103" s="38" t="s">
        <v>142</v>
      </c>
      <c r="I103" s="32" t="s">
        <v>243</v>
      </c>
      <c r="J103" s="32" t="s">
        <v>348</v>
      </c>
      <c r="K103" s="32" t="s">
        <v>129</v>
      </c>
      <c r="L103" s="32" t="s">
        <v>30</v>
      </c>
      <c r="M103" s="32" t="s">
        <v>30</v>
      </c>
      <c r="N103" s="40">
        <v>2006</v>
      </c>
      <c r="O103" s="32">
        <f>VLOOKUP(Data!N214, CPI!$A$2:$B$112, 2, 0)</f>
        <v>232.95699999999999</v>
      </c>
      <c r="P103" s="32" t="s">
        <v>132</v>
      </c>
      <c r="Q103" s="32" t="s">
        <v>239</v>
      </c>
      <c r="R103" s="32" t="s">
        <v>2501</v>
      </c>
      <c r="S103" s="32">
        <v>5</v>
      </c>
      <c r="T103" s="32" t="s">
        <v>316</v>
      </c>
      <c r="U103" s="32">
        <v>5</v>
      </c>
      <c r="V103" s="32" t="s">
        <v>316</v>
      </c>
      <c r="X103" s="32">
        <v>5</v>
      </c>
      <c r="Y103" s="32">
        <f>(CPI!$B$112/O103)*X103</f>
        <v>6.5393345123778213</v>
      </c>
      <c r="Z103" s="38" t="s">
        <v>262</v>
      </c>
      <c r="AA103" s="35" t="s">
        <v>2513</v>
      </c>
      <c r="AB103" s="32">
        <v>620</v>
      </c>
      <c r="AC103" s="35" t="s">
        <v>2513</v>
      </c>
      <c r="AH103" s="32" t="s">
        <v>411</v>
      </c>
      <c r="AK103" s="40" t="s">
        <v>375</v>
      </c>
      <c r="AL103" s="32">
        <v>2011</v>
      </c>
      <c r="AM103" s="32" t="s">
        <v>376</v>
      </c>
      <c r="AN103" s="32" t="s">
        <v>377</v>
      </c>
      <c r="AO103" s="38" t="s">
        <v>380</v>
      </c>
      <c r="AP103" s="35" t="s">
        <v>259</v>
      </c>
    </row>
    <row r="104" spans="1:42" x14ac:dyDescent="0.2">
      <c r="A104" s="40">
        <v>11</v>
      </c>
      <c r="B104" s="40">
        <v>103</v>
      </c>
      <c r="C104" s="40" t="s">
        <v>149</v>
      </c>
      <c r="D104" s="38" t="s">
        <v>148</v>
      </c>
      <c r="E104" s="32" t="s">
        <v>2186</v>
      </c>
      <c r="F104" s="32" t="s">
        <v>29</v>
      </c>
      <c r="G104" s="38" t="s">
        <v>29</v>
      </c>
      <c r="I104" s="32" t="s">
        <v>243</v>
      </c>
      <c r="J104" s="32" t="s">
        <v>348</v>
      </c>
      <c r="K104" s="32" t="s">
        <v>129</v>
      </c>
      <c r="L104" s="32" t="s">
        <v>30</v>
      </c>
      <c r="M104" s="32" t="s">
        <v>30</v>
      </c>
      <c r="N104" s="40">
        <v>2006</v>
      </c>
      <c r="O104" s="32">
        <f>VLOOKUP(Data!N215, CPI!$A$2:$B$112, 2, 0)</f>
        <v>232.95699999999999</v>
      </c>
      <c r="P104" s="32" t="s">
        <v>134</v>
      </c>
      <c r="Q104" s="32" t="s">
        <v>239</v>
      </c>
      <c r="R104" s="32" t="s">
        <v>2502</v>
      </c>
      <c r="S104" s="32">
        <v>1092.3</v>
      </c>
      <c r="T104" s="32" t="s">
        <v>316</v>
      </c>
      <c r="U104" s="32">
        <v>1092.3</v>
      </c>
      <c r="V104" s="32" t="s">
        <v>316</v>
      </c>
      <c r="X104" s="32">
        <v>1092.3</v>
      </c>
      <c r="Y104" s="32">
        <f>(CPI!$B$112/O104)*X104</f>
        <v>1428.5830175740589</v>
      </c>
      <c r="Z104" s="38" t="s">
        <v>262</v>
      </c>
      <c r="AA104" s="35" t="s">
        <v>2513</v>
      </c>
      <c r="AB104" s="32">
        <v>620</v>
      </c>
      <c r="AC104" s="35" t="s">
        <v>2513</v>
      </c>
      <c r="AH104" s="32" t="s">
        <v>411</v>
      </c>
      <c r="AK104" s="40" t="s">
        <v>375</v>
      </c>
      <c r="AL104" s="32">
        <v>2011</v>
      </c>
      <c r="AM104" s="32" t="s">
        <v>376</v>
      </c>
      <c r="AN104" s="32" t="s">
        <v>377</v>
      </c>
      <c r="AO104" s="38" t="s">
        <v>381</v>
      </c>
      <c r="AP104" s="35" t="s">
        <v>259</v>
      </c>
    </row>
    <row r="105" spans="1:42" x14ac:dyDescent="0.2">
      <c r="A105" s="40">
        <v>11</v>
      </c>
      <c r="B105" s="40">
        <v>104</v>
      </c>
      <c r="C105" s="40" t="s">
        <v>149</v>
      </c>
      <c r="D105" s="38" t="s">
        <v>148</v>
      </c>
      <c r="E105" s="32" t="s">
        <v>2186</v>
      </c>
      <c r="F105" s="32" t="s">
        <v>29</v>
      </c>
      <c r="G105" s="38" t="s">
        <v>29</v>
      </c>
      <c r="I105" s="32" t="s">
        <v>243</v>
      </c>
      <c r="J105" s="32" t="s">
        <v>348</v>
      </c>
      <c r="K105" s="32" t="s">
        <v>129</v>
      </c>
      <c r="L105" s="32" t="s">
        <v>30</v>
      </c>
      <c r="M105" s="32" t="s">
        <v>30</v>
      </c>
      <c r="N105" s="40">
        <v>2006</v>
      </c>
      <c r="O105" s="32">
        <f>VLOOKUP(Data!N216, CPI!$A$2:$B$112, 2, 0)</f>
        <v>232.95699999999999</v>
      </c>
      <c r="P105" s="32" t="s">
        <v>132</v>
      </c>
      <c r="Q105" s="32" t="s">
        <v>239</v>
      </c>
      <c r="R105" s="32" t="s">
        <v>2512</v>
      </c>
      <c r="S105" s="32">
        <v>594.4</v>
      </c>
      <c r="T105" s="32" t="s">
        <v>316</v>
      </c>
      <c r="U105" s="32">
        <v>594.4</v>
      </c>
      <c r="V105" s="32" t="s">
        <v>316</v>
      </c>
      <c r="X105" s="32">
        <v>594.4</v>
      </c>
      <c r="Y105" s="32">
        <f>(CPI!$B$112/O105)*X105</f>
        <v>777.39608683147537</v>
      </c>
      <c r="Z105" s="38" t="s">
        <v>262</v>
      </c>
      <c r="AA105" s="35" t="s">
        <v>2513</v>
      </c>
      <c r="AB105" s="32">
        <v>620</v>
      </c>
      <c r="AC105" s="35" t="s">
        <v>2513</v>
      </c>
      <c r="AH105" s="32" t="s">
        <v>411</v>
      </c>
      <c r="AK105" s="40" t="s">
        <v>375</v>
      </c>
      <c r="AL105" s="32">
        <v>2011</v>
      </c>
      <c r="AM105" s="32" t="s">
        <v>376</v>
      </c>
      <c r="AN105" s="32" t="s">
        <v>377</v>
      </c>
      <c r="AO105" s="38" t="s">
        <v>382</v>
      </c>
      <c r="AP105" s="35" t="s">
        <v>259</v>
      </c>
    </row>
    <row r="106" spans="1:42" x14ac:dyDescent="0.2">
      <c r="A106" s="40">
        <v>12</v>
      </c>
      <c r="B106" s="40">
        <v>105</v>
      </c>
      <c r="C106" s="40" t="s">
        <v>357</v>
      </c>
      <c r="D106" s="38" t="s">
        <v>165</v>
      </c>
      <c r="E106" s="32" t="s">
        <v>2183</v>
      </c>
      <c r="F106" s="32" t="s">
        <v>244</v>
      </c>
      <c r="G106" s="38" t="s">
        <v>2908</v>
      </c>
      <c r="H106" s="32" t="s">
        <v>151</v>
      </c>
      <c r="I106" s="32" t="s">
        <v>61</v>
      </c>
      <c r="J106" s="32" t="s">
        <v>388</v>
      </c>
      <c r="K106" s="32" t="s">
        <v>129</v>
      </c>
      <c r="L106" s="32" t="s">
        <v>30</v>
      </c>
      <c r="M106" s="32" t="s">
        <v>30</v>
      </c>
      <c r="N106" s="40">
        <v>2009</v>
      </c>
      <c r="O106" s="32">
        <f>VLOOKUP(Data!N19, CPI!$A$2:$B$112, 2, 0)</f>
        <v>195.3</v>
      </c>
      <c r="P106" s="32" t="s">
        <v>122</v>
      </c>
      <c r="Q106" s="32" t="s">
        <v>4</v>
      </c>
      <c r="R106" s="32" t="s">
        <v>2514</v>
      </c>
      <c r="S106" s="32">
        <v>111.25</v>
      </c>
      <c r="T106" s="32" t="s">
        <v>307</v>
      </c>
      <c r="U106" s="32">
        <f>(S106*AE106)/AB106</f>
        <v>297.55</v>
      </c>
      <c r="V106" s="32" t="s">
        <v>306</v>
      </c>
      <c r="W106" s="32">
        <f>VLOOKUP(N106, 'Exchange rate-Kenya'!$A$3:$B$65, 2, 0)</f>
        <v>77.352012297578995</v>
      </c>
      <c r="X106" s="32">
        <f>U106/W106</f>
        <v>3.8467001848032454</v>
      </c>
      <c r="Y106" s="32">
        <f>(CPI!$B$112/O106)*X106</f>
        <v>6.0010246314913065</v>
      </c>
      <c r="Z106" s="38" t="s">
        <v>303</v>
      </c>
      <c r="AA106" s="35" t="s">
        <v>2515</v>
      </c>
      <c r="AB106" s="32">
        <v>8900</v>
      </c>
      <c r="AC106" s="43" t="s">
        <v>2441</v>
      </c>
      <c r="AE106" s="32">
        <v>23804</v>
      </c>
      <c r="AF106" s="43" t="s">
        <v>2441</v>
      </c>
      <c r="AG106"/>
      <c r="AH106" s="32" t="s">
        <v>411</v>
      </c>
      <c r="AK106" s="40" t="s">
        <v>384</v>
      </c>
      <c r="AL106" s="32">
        <v>2013</v>
      </c>
      <c r="AM106" s="32" t="s">
        <v>386</v>
      </c>
      <c r="AN106" s="32" t="s">
        <v>385</v>
      </c>
      <c r="AO106" s="38" t="s">
        <v>387</v>
      </c>
      <c r="AP106" s="35" t="s">
        <v>259</v>
      </c>
    </row>
    <row r="107" spans="1:42" x14ac:dyDescent="0.2">
      <c r="A107" s="40">
        <v>13</v>
      </c>
      <c r="B107" s="40">
        <v>106</v>
      </c>
      <c r="C107" s="40" t="s">
        <v>119</v>
      </c>
      <c r="D107" s="38" t="s">
        <v>128</v>
      </c>
      <c r="E107" s="32" t="s">
        <v>2186</v>
      </c>
      <c r="F107" s="32" t="s">
        <v>29</v>
      </c>
      <c r="G107" s="54" t="s">
        <v>29</v>
      </c>
      <c r="H107" s="32" t="s">
        <v>115</v>
      </c>
      <c r="I107" s="32" t="s">
        <v>243</v>
      </c>
      <c r="J107" s="32" t="s">
        <v>261</v>
      </c>
      <c r="K107" s="32" t="s">
        <v>129</v>
      </c>
      <c r="L107" s="32">
        <v>0.33</v>
      </c>
      <c r="M107" s="32">
        <v>34.67</v>
      </c>
      <c r="N107" s="40">
        <v>2017</v>
      </c>
      <c r="O107" s="32">
        <f>VLOOKUP(Data!N20, CPI!$A$2:$B$112, 2, 0)</f>
        <v>195.3</v>
      </c>
      <c r="P107" s="32" t="s">
        <v>16</v>
      </c>
      <c r="Q107" s="32" t="s">
        <v>4</v>
      </c>
      <c r="R107" s="32" t="s">
        <v>393</v>
      </c>
      <c r="S107" s="32">
        <v>1750</v>
      </c>
      <c r="T107" s="32" t="s">
        <v>307</v>
      </c>
      <c r="U107" s="32">
        <f>(S107*AE107)/AB107</f>
        <v>115.98390806121299</v>
      </c>
      <c r="V107" s="32" t="s">
        <v>306</v>
      </c>
      <c r="W107" s="32">
        <f>VLOOKUP(N107, 'Exchange rate-Kenya'!$A$3:$B$65, 2, 0)</f>
        <v>103.410004519014</v>
      </c>
      <c r="X107" s="32">
        <f>U107/W107</f>
        <v>1.1215927182353718</v>
      </c>
      <c r="Y107" s="32">
        <f>(CPI!$B$112/O107)*X107</f>
        <v>1.7497348910169932</v>
      </c>
      <c r="Z107" s="38" t="s">
        <v>303</v>
      </c>
      <c r="AA107" s="35" t="s">
        <v>1446</v>
      </c>
      <c r="AB107" s="32">
        <v>301766</v>
      </c>
      <c r="AC107" s="32" t="s">
        <v>2441</v>
      </c>
      <c r="AE107" s="32">
        <v>20000</v>
      </c>
      <c r="AF107" s="32" t="s">
        <v>2516</v>
      </c>
      <c r="AG107"/>
      <c r="AH107" s="32" t="s">
        <v>411</v>
      </c>
      <c r="AI107" s="32" t="s">
        <v>1364</v>
      </c>
      <c r="AJ107" s="35" t="s">
        <v>2328</v>
      </c>
      <c r="AK107" s="40" t="s">
        <v>389</v>
      </c>
      <c r="AL107" s="32">
        <v>2017</v>
      </c>
      <c r="AM107" s="32" t="s">
        <v>390</v>
      </c>
      <c r="AN107" s="32" t="s">
        <v>392</v>
      </c>
      <c r="AO107" s="38" t="s">
        <v>391</v>
      </c>
      <c r="AP107" s="35" t="s">
        <v>396</v>
      </c>
    </row>
    <row r="108" spans="1:42" x14ac:dyDescent="0.2">
      <c r="A108" s="40">
        <v>13</v>
      </c>
      <c r="B108" s="40">
        <v>107</v>
      </c>
      <c r="C108" s="40" t="s">
        <v>119</v>
      </c>
      <c r="D108" s="38" t="s">
        <v>128</v>
      </c>
      <c r="E108" s="32" t="s">
        <v>2184</v>
      </c>
      <c r="F108" s="32" t="s">
        <v>145</v>
      </c>
      <c r="G108" s="38" t="s">
        <v>146</v>
      </c>
      <c r="H108" s="32" t="s">
        <v>115</v>
      </c>
      <c r="I108" s="32" t="s">
        <v>243</v>
      </c>
      <c r="J108" s="32" t="s">
        <v>261</v>
      </c>
      <c r="K108" s="32" t="s">
        <v>129</v>
      </c>
      <c r="L108" s="32">
        <v>0.33</v>
      </c>
      <c r="M108" s="32">
        <v>34.67</v>
      </c>
      <c r="N108" s="40">
        <v>2017</v>
      </c>
      <c r="O108" s="32">
        <f>VLOOKUP(Data!N21, CPI!$A$2:$B$112, 2, 0)</f>
        <v>195.3</v>
      </c>
      <c r="P108" s="32" t="s">
        <v>16</v>
      </c>
      <c r="Q108" s="32" t="s">
        <v>4</v>
      </c>
      <c r="R108" s="32" t="s">
        <v>394</v>
      </c>
      <c r="S108" s="32">
        <v>2570</v>
      </c>
      <c r="T108" s="32" t="s">
        <v>307</v>
      </c>
      <c r="U108" s="32">
        <f>(S108*AE108)/AB108</f>
        <v>170.33065355275281</v>
      </c>
      <c r="V108" s="32" t="s">
        <v>306</v>
      </c>
      <c r="W108" s="32">
        <f>VLOOKUP(N108, 'Exchange rate-Kenya'!$A$3:$B$65, 2, 0)</f>
        <v>103.410004519014</v>
      </c>
      <c r="X108" s="32">
        <f>U108/W108</f>
        <v>1.647139020494232</v>
      </c>
      <c r="Y108" s="32">
        <f>(CPI!$B$112/O108)*X108</f>
        <v>2.5696106685220994</v>
      </c>
      <c r="Z108" s="38" t="s">
        <v>303</v>
      </c>
      <c r="AA108" s="35" t="s">
        <v>1446</v>
      </c>
      <c r="AB108" s="32">
        <v>301766</v>
      </c>
      <c r="AC108" s="32" t="s">
        <v>2441</v>
      </c>
      <c r="AE108" s="32">
        <v>20000</v>
      </c>
      <c r="AF108" s="32" t="s">
        <v>2516</v>
      </c>
      <c r="AG108"/>
      <c r="AH108" s="32" t="s">
        <v>411</v>
      </c>
      <c r="AI108" s="32" t="s">
        <v>1364</v>
      </c>
      <c r="AJ108" s="35" t="s">
        <v>2328</v>
      </c>
      <c r="AK108" s="40" t="s">
        <v>389</v>
      </c>
      <c r="AL108" s="32">
        <v>2017</v>
      </c>
      <c r="AM108" s="32" t="s">
        <v>390</v>
      </c>
      <c r="AN108" s="32" t="s">
        <v>392</v>
      </c>
      <c r="AO108" s="38" t="s">
        <v>391</v>
      </c>
      <c r="AP108" s="35" t="s">
        <v>396</v>
      </c>
    </row>
    <row r="109" spans="1:42" x14ac:dyDescent="0.2">
      <c r="A109" s="40">
        <v>13</v>
      </c>
      <c r="B109" s="40">
        <v>108</v>
      </c>
      <c r="C109" s="40" t="s">
        <v>119</v>
      </c>
      <c r="D109" s="38" t="s">
        <v>128</v>
      </c>
      <c r="E109" s="32" t="s">
        <v>2183</v>
      </c>
      <c r="F109" s="32" t="s">
        <v>244</v>
      </c>
      <c r="G109" s="38" t="s">
        <v>162</v>
      </c>
      <c r="H109" s="32" t="s">
        <v>115</v>
      </c>
      <c r="I109" s="32" t="s">
        <v>243</v>
      </c>
      <c r="J109" s="32" t="s">
        <v>261</v>
      </c>
      <c r="K109" s="32" t="s">
        <v>129</v>
      </c>
      <c r="L109" s="32">
        <v>0.33</v>
      </c>
      <c r="M109" s="32">
        <v>34.67</v>
      </c>
      <c r="N109" s="40">
        <v>2017</v>
      </c>
      <c r="O109" s="32">
        <f>VLOOKUP(Data!N22, CPI!$A$2:$B$112, 2, 0)</f>
        <v>195.3</v>
      </c>
      <c r="P109" s="32" t="s">
        <v>16</v>
      </c>
      <c r="Q109" s="32" t="s">
        <v>4</v>
      </c>
      <c r="R109" s="32" t="s">
        <v>395</v>
      </c>
      <c r="S109" s="32">
        <v>460</v>
      </c>
      <c r="T109" s="32" t="s">
        <v>307</v>
      </c>
      <c r="U109" s="32">
        <f>(S109*AE109)/AB109</f>
        <v>30.487198690375987</v>
      </c>
      <c r="V109" s="32" t="s">
        <v>306</v>
      </c>
      <c r="W109" s="32">
        <f>VLOOKUP(N109, 'Exchange rate-Kenya'!$A$3:$B$65, 2, 0)</f>
        <v>103.410004519014</v>
      </c>
      <c r="X109" s="32">
        <f>U109/W109</f>
        <v>0.29481865736472629</v>
      </c>
      <c r="Y109" s="32">
        <f>(CPI!$B$112/O109)*X109</f>
        <v>0.4599303142101811</v>
      </c>
      <c r="Z109" s="38" t="s">
        <v>303</v>
      </c>
      <c r="AA109" s="35" t="s">
        <v>1446</v>
      </c>
      <c r="AB109" s="32">
        <v>301766</v>
      </c>
      <c r="AC109" s="32" t="s">
        <v>2441</v>
      </c>
      <c r="AE109" s="32">
        <v>20000</v>
      </c>
      <c r="AF109" s="32" t="s">
        <v>2516</v>
      </c>
      <c r="AG109"/>
      <c r="AH109" s="32" t="s">
        <v>411</v>
      </c>
      <c r="AI109" s="32" t="s">
        <v>1364</v>
      </c>
      <c r="AJ109" s="35" t="s">
        <v>2328</v>
      </c>
      <c r="AK109" s="40" t="s">
        <v>389</v>
      </c>
      <c r="AL109" s="32">
        <v>2017</v>
      </c>
      <c r="AM109" s="32" t="s">
        <v>390</v>
      </c>
      <c r="AN109" s="32" t="s">
        <v>392</v>
      </c>
      <c r="AO109" s="38" t="s">
        <v>391</v>
      </c>
      <c r="AP109" s="35" t="s">
        <v>396</v>
      </c>
    </row>
    <row r="110" spans="1:42" x14ac:dyDescent="0.2">
      <c r="A110" s="40">
        <v>14</v>
      </c>
      <c r="B110" s="40">
        <v>109</v>
      </c>
      <c r="C110" s="40" t="s">
        <v>114</v>
      </c>
      <c r="D110" s="38" t="s">
        <v>218</v>
      </c>
      <c r="E110" s="32" t="s">
        <v>2183</v>
      </c>
      <c r="F110" s="32" t="s">
        <v>126</v>
      </c>
      <c r="G110" s="38" t="s">
        <v>127</v>
      </c>
      <c r="H110" s="32" t="s">
        <v>151</v>
      </c>
      <c r="I110" s="32" t="s">
        <v>243</v>
      </c>
      <c r="J110" s="32" t="s">
        <v>403</v>
      </c>
      <c r="K110" s="32" t="s">
        <v>129</v>
      </c>
      <c r="L110" s="32" t="s">
        <v>410</v>
      </c>
      <c r="M110" s="32" t="s">
        <v>409</v>
      </c>
      <c r="N110" s="40">
        <v>2015</v>
      </c>
      <c r="O110" s="32">
        <f>VLOOKUP(Data!N217, CPI!$A$2:$B$112, 2, 0)</f>
        <v>232.95699999999999</v>
      </c>
      <c r="P110" s="32" t="s">
        <v>238</v>
      </c>
      <c r="Q110" s="32" t="s">
        <v>239</v>
      </c>
      <c r="R110" s="32" t="s">
        <v>404</v>
      </c>
      <c r="S110" s="32">
        <v>397.4</v>
      </c>
      <c r="T110" s="32" t="s">
        <v>405</v>
      </c>
      <c r="U110" s="32">
        <f>(S110*700)/AB110</f>
        <v>118.88034188034187</v>
      </c>
      <c r="V110" s="32" t="s">
        <v>316</v>
      </c>
      <c r="X110" s="32">
        <f>U110</f>
        <v>118.88034188034187</v>
      </c>
      <c r="Y110" s="32">
        <f>(CPI!$B$112/O110)*X110</f>
        <v>155.47966450027883</v>
      </c>
      <c r="Z110" s="38" t="s">
        <v>262</v>
      </c>
      <c r="AA110" s="35" t="s">
        <v>2253</v>
      </c>
      <c r="AB110" s="32">
        <v>2340</v>
      </c>
      <c r="AC110" s="32" t="s">
        <v>2258</v>
      </c>
      <c r="AE110" s="32">
        <v>700</v>
      </c>
      <c r="AH110" s="32" t="s">
        <v>411</v>
      </c>
      <c r="AJ110" s="35" t="s">
        <v>2259</v>
      </c>
      <c r="AK110" s="40" t="s">
        <v>398</v>
      </c>
      <c r="AL110" s="32">
        <v>2016</v>
      </c>
      <c r="AM110" s="32" t="s">
        <v>399</v>
      </c>
      <c r="AN110" s="32" t="s">
        <v>400</v>
      </c>
      <c r="AO110" s="38" t="s">
        <v>401</v>
      </c>
      <c r="AP110" s="35" t="s">
        <v>396</v>
      </c>
    </row>
    <row r="111" spans="1:42" x14ac:dyDescent="0.2">
      <c r="A111" s="40">
        <v>14</v>
      </c>
      <c r="B111" s="40">
        <v>110</v>
      </c>
      <c r="C111" s="40" t="s">
        <v>114</v>
      </c>
      <c r="D111" s="38" t="s">
        <v>218</v>
      </c>
      <c r="E111" s="32" t="s">
        <v>2183</v>
      </c>
      <c r="F111" s="32" t="s">
        <v>237</v>
      </c>
      <c r="G111" s="38" t="s">
        <v>117</v>
      </c>
      <c r="H111" s="32" t="s">
        <v>151</v>
      </c>
      <c r="I111" s="32" t="s">
        <v>243</v>
      </c>
      <c r="J111" s="32" t="s">
        <v>403</v>
      </c>
      <c r="K111" s="32" t="s">
        <v>129</v>
      </c>
      <c r="L111" s="32" t="s">
        <v>410</v>
      </c>
      <c r="M111" s="32" t="s">
        <v>409</v>
      </c>
      <c r="N111" s="40">
        <v>2015</v>
      </c>
      <c r="O111" s="32">
        <f>VLOOKUP(Data!N218, CPI!$A$2:$B$112, 2, 0)</f>
        <v>232.95699999999999</v>
      </c>
      <c r="P111" s="32" t="s">
        <v>238</v>
      </c>
      <c r="Q111" s="32" t="s">
        <v>239</v>
      </c>
      <c r="R111" s="32" t="s">
        <v>406</v>
      </c>
      <c r="S111" s="32">
        <v>602.49</v>
      </c>
      <c r="T111" s="32" t="s">
        <v>405</v>
      </c>
      <c r="U111" s="32">
        <f>(S111*700)/AB111</f>
        <v>180.23205128205129</v>
      </c>
      <c r="V111" s="32" t="s">
        <v>316</v>
      </c>
      <c r="X111" s="32">
        <f>U111</f>
        <v>180.23205128205129</v>
      </c>
      <c r="Y111" s="32">
        <f>(CPI!$B$112/O111)*X111</f>
        <v>235.71953463707348</v>
      </c>
      <c r="Z111" s="38" t="s">
        <v>262</v>
      </c>
      <c r="AA111" s="35" t="s">
        <v>2254</v>
      </c>
      <c r="AB111" s="32">
        <v>2340</v>
      </c>
      <c r="AC111" s="32" t="s">
        <v>2258</v>
      </c>
      <c r="AE111" s="32">
        <v>700</v>
      </c>
      <c r="AH111" s="32" t="s">
        <v>411</v>
      </c>
      <c r="AJ111" s="35" t="s">
        <v>2259</v>
      </c>
      <c r="AK111" s="40" t="s">
        <v>398</v>
      </c>
      <c r="AL111" s="32">
        <v>2016</v>
      </c>
      <c r="AM111" s="32" t="s">
        <v>399</v>
      </c>
      <c r="AN111" s="32" t="s">
        <v>400</v>
      </c>
      <c r="AO111" s="38" t="s">
        <v>401</v>
      </c>
      <c r="AP111" s="35" t="s">
        <v>396</v>
      </c>
    </row>
    <row r="112" spans="1:42" x14ac:dyDescent="0.2">
      <c r="A112" s="40">
        <v>14</v>
      </c>
      <c r="B112" s="40">
        <v>111</v>
      </c>
      <c r="C112" s="40" t="s">
        <v>114</v>
      </c>
      <c r="D112" s="38" t="s">
        <v>218</v>
      </c>
      <c r="E112" s="32" t="s">
        <v>2183</v>
      </c>
      <c r="F112" s="32" t="s">
        <v>237</v>
      </c>
      <c r="G112" s="38" t="s">
        <v>154</v>
      </c>
      <c r="H112" s="32" t="s">
        <v>151</v>
      </c>
      <c r="I112" s="32" t="s">
        <v>243</v>
      </c>
      <c r="J112" s="32" t="s">
        <v>403</v>
      </c>
      <c r="K112" s="32" t="s">
        <v>129</v>
      </c>
      <c r="L112" s="32" t="s">
        <v>410</v>
      </c>
      <c r="M112" s="32" t="s">
        <v>409</v>
      </c>
      <c r="N112" s="40">
        <v>2015</v>
      </c>
      <c r="O112" s="32">
        <f>VLOOKUP(Data!N219, CPI!$A$2:$B$112, 2, 0)</f>
        <v>232.95699999999999</v>
      </c>
      <c r="P112" s="32" t="s">
        <v>238</v>
      </c>
      <c r="Q112" s="32" t="s">
        <v>239</v>
      </c>
      <c r="R112" s="32" t="s">
        <v>407</v>
      </c>
      <c r="S112" s="32">
        <v>1039.5</v>
      </c>
      <c r="T112" s="32" t="s">
        <v>405</v>
      </c>
      <c r="U112" s="32">
        <f>(S112*700)/AB112</f>
        <v>310.96153846153845</v>
      </c>
      <c r="V112" s="32" t="s">
        <v>316</v>
      </c>
      <c r="X112" s="32">
        <f>U112</f>
        <v>310.96153846153845</v>
      </c>
      <c r="Y112" s="32">
        <f>(CPI!$B$112/O112)*X112</f>
        <v>406.69630409672834</v>
      </c>
      <c r="Z112" s="38" t="s">
        <v>262</v>
      </c>
      <c r="AA112" s="35" t="s">
        <v>2252</v>
      </c>
      <c r="AB112" s="32">
        <v>2340</v>
      </c>
      <c r="AC112" s="32" t="s">
        <v>2258</v>
      </c>
      <c r="AE112" s="32">
        <v>700</v>
      </c>
      <c r="AH112" s="32" t="s">
        <v>411</v>
      </c>
      <c r="AJ112" s="35" t="s">
        <v>2259</v>
      </c>
      <c r="AK112" s="40" t="s">
        <v>398</v>
      </c>
      <c r="AL112" s="32">
        <v>2016</v>
      </c>
      <c r="AM112" s="32" t="s">
        <v>399</v>
      </c>
      <c r="AN112" s="32" t="s">
        <v>400</v>
      </c>
      <c r="AO112" s="38" t="s">
        <v>401</v>
      </c>
      <c r="AP112" s="35" t="s">
        <v>396</v>
      </c>
    </row>
    <row r="113" spans="1:42" x14ac:dyDescent="0.2">
      <c r="A113" s="40">
        <v>15</v>
      </c>
      <c r="B113" s="40">
        <v>112</v>
      </c>
      <c r="C113" s="40" t="s">
        <v>241</v>
      </c>
      <c r="D113" s="38" t="s">
        <v>241</v>
      </c>
      <c r="E113" s="32" t="s">
        <v>2887</v>
      </c>
      <c r="F113" s="32" t="s">
        <v>121</v>
      </c>
      <c r="G113" s="38" t="s">
        <v>123</v>
      </c>
      <c r="H113" s="32" t="s">
        <v>151</v>
      </c>
      <c r="I113" s="32" t="s">
        <v>137</v>
      </c>
      <c r="J113" s="32" t="s">
        <v>129</v>
      </c>
      <c r="K113" s="32" t="s">
        <v>129</v>
      </c>
      <c r="L113" s="32" t="s">
        <v>30</v>
      </c>
      <c r="M113" s="32" t="s">
        <v>30</v>
      </c>
      <c r="N113" s="40">
        <v>2010</v>
      </c>
      <c r="O113" s="32">
        <f>VLOOKUP(Data!N220, CPI!$A$2:$B$112, 2, 0)</f>
        <v>232.95699999999999</v>
      </c>
      <c r="P113" s="32" t="s">
        <v>238</v>
      </c>
      <c r="Q113" s="32" t="s">
        <v>239</v>
      </c>
      <c r="R113" s="32" t="s">
        <v>416</v>
      </c>
      <c r="S113" s="32">
        <v>17000</v>
      </c>
      <c r="T113" s="32" t="s">
        <v>417</v>
      </c>
      <c r="U113" s="32">
        <f>S113*2000/AB113</f>
        <v>3.9107430411778239</v>
      </c>
      <c r="V113" s="32" t="s">
        <v>316</v>
      </c>
      <c r="X113" s="32">
        <f>U113</f>
        <v>3.9107430411778239</v>
      </c>
      <c r="Y113" s="32">
        <f>(CPI!$B$112/O113)*X113</f>
        <v>5.1147313876431086</v>
      </c>
      <c r="Z113" s="38" t="s">
        <v>262</v>
      </c>
      <c r="AA113" s="35" t="s">
        <v>2260</v>
      </c>
      <c r="AB113" s="75">
        <v>8694000</v>
      </c>
      <c r="AC113" s="76" t="s">
        <v>2261</v>
      </c>
      <c r="AH113" s="32" t="s">
        <v>411</v>
      </c>
      <c r="AI113" s="75"/>
      <c r="AJ113" s="35" t="s">
        <v>2262</v>
      </c>
      <c r="AK113" s="40" t="s">
        <v>412</v>
      </c>
      <c r="AL113" s="32">
        <v>2014</v>
      </c>
      <c r="AM113" s="32" t="s">
        <v>413</v>
      </c>
      <c r="AN113" s="32" t="s">
        <v>415</v>
      </c>
      <c r="AO113" s="38" t="s">
        <v>414</v>
      </c>
      <c r="AP113" s="35" t="s">
        <v>396</v>
      </c>
    </row>
    <row r="114" spans="1:42" x14ac:dyDescent="0.2">
      <c r="A114" s="40">
        <v>16</v>
      </c>
      <c r="B114" s="40">
        <v>113</v>
      </c>
      <c r="C114" s="40" t="s">
        <v>241</v>
      </c>
      <c r="D114" s="38" t="s">
        <v>241</v>
      </c>
      <c r="E114" s="32" t="s">
        <v>2183</v>
      </c>
      <c r="F114" s="32" t="s">
        <v>237</v>
      </c>
      <c r="G114" s="38" t="s">
        <v>117</v>
      </c>
      <c r="H114" s="32" t="s">
        <v>151</v>
      </c>
      <c r="I114" s="32" t="s">
        <v>61</v>
      </c>
      <c r="J114" s="32" t="s">
        <v>2265</v>
      </c>
      <c r="K114" s="32" t="s">
        <v>129</v>
      </c>
      <c r="L114" s="32" t="s">
        <v>30</v>
      </c>
      <c r="M114" s="32" t="s">
        <v>30</v>
      </c>
      <c r="N114" s="40">
        <v>2022</v>
      </c>
      <c r="O114" s="32">
        <f>VLOOKUP(Data!N23, CPI!$A$2:$B$112, 2, 0)</f>
        <v>195.3</v>
      </c>
      <c r="P114" s="32" t="s">
        <v>238</v>
      </c>
      <c r="Q114" s="32" t="s">
        <v>239</v>
      </c>
      <c r="R114" s="32" t="s">
        <v>2263</v>
      </c>
      <c r="S114" s="32">
        <v>24667</v>
      </c>
      <c r="T114" s="32" t="s">
        <v>2264</v>
      </c>
      <c r="U114" s="32">
        <f>((S114*12)*(37982+26766))/AB114</f>
        <v>793609.39925465838</v>
      </c>
      <c r="V114" s="32" t="s">
        <v>2211</v>
      </c>
      <c r="W114" s="32">
        <f>VLOOKUP(N114, 'Exchange rate-Kenya'!$A$3:$B$65, 2, 0)</f>
        <v>119.447</v>
      </c>
      <c r="X114" s="32">
        <f>U114/W114</f>
        <v>6644.0295633599699</v>
      </c>
      <c r="Y114" s="32">
        <f>(CPI!$B$112/O114)*X114</f>
        <v>10364.983790416973</v>
      </c>
      <c r="Z114" s="38" t="s">
        <v>303</v>
      </c>
      <c r="AA114" s="35" t="s">
        <v>2267</v>
      </c>
      <c r="AB114" s="32">
        <f>8430+15720</f>
        <v>24150</v>
      </c>
      <c r="AC114" s="43" t="s">
        <v>2266</v>
      </c>
      <c r="AE114" s="32">
        <f>37982+26766</f>
        <v>64748</v>
      </c>
      <c r="AF114" s="32" t="s">
        <v>2283</v>
      </c>
      <c r="AG114"/>
      <c r="AH114" s="32" t="s">
        <v>411</v>
      </c>
      <c r="AJ114" s="36" t="s">
        <v>2284</v>
      </c>
      <c r="AK114" s="40" t="s">
        <v>418</v>
      </c>
      <c r="AL114" s="32">
        <v>2022</v>
      </c>
      <c r="AM114" s="32" t="s">
        <v>419</v>
      </c>
      <c r="AN114" s="32" t="s">
        <v>418</v>
      </c>
      <c r="AO114" s="38" t="s">
        <v>420</v>
      </c>
      <c r="AP114" s="35" t="s">
        <v>396</v>
      </c>
    </row>
    <row r="115" spans="1:42" x14ac:dyDescent="0.2">
      <c r="A115" s="40">
        <v>17</v>
      </c>
      <c r="B115" s="40">
        <v>114</v>
      </c>
      <c r="C115" s="40" t="s">
        <v>357</v>
      </c>
      <c r="D115" s="38" t="s">
        <v>130</v>
      </c>
      <c r="E115" s="32" t="s">
        <v>2183</v>
      </c>
      <c r="F115" s="32" t="s">
        <v>237</v>
      </c>
      <c r="G115" s="38" t="s">
        <v>154</v>
      </c>
      <c r="H115" s="32" t="s">
        <v>151</v>
      </c>
      <c r="I115" s="32" t="s">
        <v>243</v>
      </c>
      <c r="J115" s="32" t="s">
        <v>423</v>
      </c>
      <c r="K115" s="32" t="s">
        <v>129</v>
      </c>
      <c r="L115" s="32" t="s">
        <v>30</v>
      </c>
      <c r="M115" s="32" t="s">
        <v>30</v>
      </c>
      <c r="N115" s="40">
        <v>2020</v>
      </c>
      <c r="O115" s="32">
        <f>VLOOKUP(Data!N1310, CPI!$A$2:$B$112, 2, 0)</f>
        <v>218.05600000000001</v>
      </c>
      <c r="P115" s="32" t="s">
        <v>238</v>
      </c>
      <c r="Q115" s="32" t="s">
        <v>239</v>
      </c>
      <c r="R115" s="32" t="s">
        <v>424</v>
      </c>
      <c r="S115" s="32">
        <v>3.77</v>
      </c>
      <c r="T115" s="32" t="s">
        <v>430</v>
      </c>
      <c r="Z115" s="38" t="s">
        <v>347</v>
      </c>
      <c r="AA115" s="35" t="s">
        <v>1445</v>
      </c>
      <c r="AB115" s="32">
        <v>238</v>
      </c>
      <c r="AH115" s="32" t="s">
        <v>397</v>
      </c>
      <c r="AI115" s="32" t="s">
        <v>2268</v>
      </c>
      <c r="AK115" s="40" t="s">
        <v>431</v>
      </c>
      <c r="AL115" s="32">
        <v>2021</v>
      </c>
      <c r="AM115" s="32" t="s">
        <v>432</v>
      </c>
      <c r="AN115" s="32" t="s">
        <v>433</v>
      </c>
      <c r="AO115" s="38" t="s">
        <v>434</v>
      </c>
      <c r="AP115" s="35" t="s">
        <v>396</v>
      </c>
    </row>
    <row r="116" spans="1:42" x14ac:dyDescent="0.2">
      <c r="A116" s="40">
        <v>17</v>
      </c>
      <c r="B116" s="40">
        <v>115</v>
      </c>
      <c r="C116" s="40" t="s">
        <v>357</v>
      </c>
      <c r="D116" s="38" t="s">
        <v>130</v>
      </c>
      <c r="E116" s="32" t="s">
        <v>2183</v>
      </c>
      <c r="F116" s="32" t="s">
        <v>237</v>
      </c>
      <c r="G116" s="38" t="s">
        <v>154</v>
      </c>
      <c r="H116" s="32" t="s">
        <v>151</v>
      </c>
      <c r="I116" s="32" t="s">
        <v>243</v>
      </c>
      <c r="J116" s="32" t="s">
        <v>423</v>
      </c>
      <c r="K116" s="32" t="s">
        <v>129</v>
      </c>
      <c r="L116" s="32" t="s">
        <v>30</v>
      </c>
      <c r="M116" s="32" t="s">
        <v>30</v>
      </c>
      <c r="N116" s="40">
        <v>2020</v>
      </c>
      <c r="O116" s="32">
        <f>VLOOKUP(Data!N1311, CPI!$A$2:$B$112, 2, 0)</f>
        <v>218.05600000000001</v>
      </c>
      <c r="P116" s="32" t="s">
        <v>238</v>
      </c>
      <c r="Q116" s="32" t="s">
        <v>239</v>
      </c>
      <c r="R116" s="32" t="s">
        <v>425</v>
      </c>
      <c r="S116" s="32">
        <v>3.11</v>
      </c>
      <c r="T116" s="32" t="s">
        <v>430</v>
      </c>
      <c r="Z116" s="38" t="s">
        <v>347</v>
      </c>
      <c r="AA116" s="35" t="s">
        <v>1445</v>
      </c>
      <c r="AB116" s="32">
        <v>238</v>
      </c>
      <c r="AH116" s="32" t="s">
        <v>397</v>
      </c>
      <c r="AI116" s="32" t="s">
        <v>2268</v>
      </c>
      <c r="AK116" s="40" t="s">
        <v>431</v>
      </c>
      <c r="AL116" s="32">
        <v>2021</v>
      </c>
      <c r="AM116" s="32" t="s">
        <v>432</v>
      </c>
      <c r="AN116" s="32" t="s">
        <v>433</v>
      </c>
      <c r="AO116" s="38" t="s">
        <v>434</v>
      </c>
      <c r="AP116" s="35" t="s">
        <v>396</v>
      </c>
    </row>
    <row r="117" spans="1:42" x14ac:dyDescent="0.2">
      <c r="A117" s="40">
        <v>17</v>
      </c>
      <c r="B117" s="40">
        <v>116</v>
      </c>
      <c r="C117" s="40" t="s">
        <v>357</v>
      </c>
      <c r="D117" s="38" t="s">
        <v>130</v>
      </c>
      <c r="E117" s="32" t="s">
        <v>2183</v>
      </c>
      <c r="F117" s="32" t="s">
        <v>237</v>
      </c>
      <c r="G117" s="38" t="s">
        <v>154</v>
      </c>
      <c r="H117" s="32" t="s">
        <v>151</v>
      </c>
      <c r="I117" s="32" t="s">
        <v>243</v>
      </c>
      <c r="J117" s="32" t="s">
        <v>423</v>
      </c>
      <c r="K117" s="32" t="s">
        <v>129</v>
      </c>
      <c r="L117" s="32" t="s">
        <v>30</v>
      </c>
      <c r="M117" s="32" t="s">
        <v>30</v>
      </c>
      <c r="N117" s="40">
        <v>2020</v>
      </c>
      <c r="O117" s="32">
        <f>VLOOKUP(Data!N1312, CPI!$A$2:$B$112, 2, 0)</f>
        <v>236.73599999999999</v>
      </c>
      <c r="P117" s="32" t="s">
        <v>238</v>
      </c>
      <c r="Q117" s="32" t="s">
        <v>239</v>
      </c>
      <c r="R117" s="32" t="s">
        <v>426</v>
      </c>
      <c r="S117" s="32">
        <v>1.58</v>
      </c>
      <c r="T117" s="32" t="s">
        <v>430</v>
      </c>
      <c r="Z117" s="38" t="s">
        <v>347</v>
      </c>
      <c r="AA117" s="35" t="s">
        <v>1445</v>
      </c>
      <c r="AB117" s="32">
        <v>238</v>
      </c>
      <c r="AH117" s="32" t="s">
        <v>397</v>
      </c>
      <c r="AI117" s="32" t="s">
        <v>2268</v>
      </c>
      <c r="AK117" s="40" t="s">
        <v>431</v>
      </c>
      <c r="AL117" s="32">
        <v>2021</v>
      </c>
      <c r="AM117" s="32" t="s">
        <v>432</v>
      </c>
      <c r="AN117" s="32" t="s">
        <v>433</v>
      </c>
      <c r="AO117" s="38" t="s">
        <v>434</v>
      </c>
      <c r="AP117" s="35" t="s">
        <v>396</v>
      </c>
    </row>
    <row r="118" spans="1:42" x14ac:dyDescent="0.2">
      <c r="A118" s="40">
        <v>17</v>
      </c>
      <c r="B118" s="40">
        <v>117</v>
      </c>
      <c r="C118" s="40" t="s">
        <v>357</v>
      </c>
      <c r="D118" s="38" t="s">
        <v>130</v>
      </c>
      <c r="E118" s="32" t="s">
        <v>2183</v>
      </c>
      <c r="F118" s="32" t="s">
        <v>237</v>
      </c>
      <c r="G118" s="38" t="s">
        <v>154</v>
      </c>
      <c r="H118" s="32" t="s">
        <v>151</v>
      </c>
      <c r="I118" s="32" t="s">
        <v>243</v>
      </c>
      <c r="J118" s="32" t="s">
        <v>423</v>
      </c>
      <c r="K118" s="32" t="s">
        <v>129</v>
      </c>
      <c r="L118" s="32" t="s">
        <v>30</v>
      </c>
      <c r="M118" s="32" t="s">
        <v>30</v>
      </c>
      <c r="N118" s="40">
        <v>2020</v>
      </c>
      <c r="O118" s="32">
        <f>VLOOKUP(Data!N1313, CPI!$A$2:$B$112, 2, 0)</f>
        <v>214.53700000000001</v>
      </c>
      <c r="P118" s="32" t="s">
        <v>238</v>
      </c>
      <c r="Q118" s="32" t="s">
        <v>239</v>
      </c>
      <c r="R118" s="32" t="s">
        <v>427</v>
      </c>
      <c r="S118" s="32">
        <v>2.76</v>
      </c>
      <c r="T118" s="32" t="s">
        <v>430</v>
      </c>
      <c r="Z118" s="38" t="s">
        <v>347</v>
      </c>
      <c r="AA118" s="35" t="s">
        <v>1445</v>
      </c>
      <c r="AB118" s="32">
        <v>238</v>
      </c>
      <c r="AH118" s="32" t="s">
        <v>397</v>
      </c>
      <c r="AI118" s="32" t="s">
        <v>2268</v>
      </c>
      <c r="AK118" s="40" t="s">
        <v>431</v>
      </c>
      <c r="AL118" s="32">
        <v>2021</v>
      </c>
      <c r="AM118" s="32" t="s">
        <v>432</v>
      </c>
      <c r="AN118" s="32" t="s">
        <v>433</v>
      </c>
      <c r="AO118" s="38" t="s">
        <v>434</v>
      </c>
      <c r="AP118" s="35" t="s">
        <v>396</v>
      </c>
    </row>
    <row r="119" spans="1:42" x14ac:dyDescent="0.2">
      <c r="A119" s="40">
        <v>17</v>
      </c>
      <c r="B119" s="40">
        <v>118</v>
      </c>
      <c r="C119" s="40" t="s">
        <v>357</v>
      </c>
      <c r="D119" s="38" t="s">
        <v>130</v>
      </c>
      <c r="E119" s="32" t="s">
        <v>2183</v>
      </c>
      <c r="F119" s="32" t="s">
        <v>237</v>
      </c>
      <c r="G119" s="38" t="s">
        <v>154</v>
      </c>
      <c r="H119" s="32" t="s">
        <v>151</v>
      </c>
      <c r="I119" s="32" t="s">
        <v>243</v>
      </c>
      <c r="J119" s="32" t="s">
        <v>423</v>
      </c>
      <c r="K119" s="32" t="s">
        <v>129</v>
      </c>
      <c r="L119" s="32" t="s">
        <v>30</v>
      </c>
      <c r="M119" s="32" t="s">
        <v>30</v>
      </c>
      <c r="N119" s="40">
        <v>2020</v>
      </c>
      <c r="O119" s="32">
        <f>VLOOKUP(Data!N1314, CPI!$A$2:$B$112, 2, 0)</f>
        <v>237.017</v>
      </c>
      <c r="P119" s="32" t="s">
        <v>238</v>
      </c>
      <c r="Q119" s="32" t="s">
        <v>239</v>
      </c>
      <c r="R119" s="32" t="s">
        <v>428</v>
      </c>
      <c r="S119" s="32">
        <v>3.42</v>
      </c>
      <c r="T119" s="32" t="s">
        <v>430</v>
      </c>
      <c r="Z119" s="38" t="s">
        <v>347</v>
      </c>
      <c r="AA119" s="35" t="s">
        <v>1445</v>
      </c>
      <c r="AB119" s="32">
        <v>238</v>
      </c>
      <c r="AH119" s="32" t="s">
        <v>397</v>
      </c>
      <c r="AI119" s="32" t="s">
        <v>2268</v>
      </c>
      <c r="AK119" s="40" t="s">
        <v>431</v>
      </c>
      <c r="AL119" s="32">
        <v>2021</v>
      </c>
      <c r="AM119" s="32" t="s">
        <v>432</v>
      </c>
      <c r="AN119" s="32" t="s">
        <v>433</v>
      </c>
      <c r="AO119" s="38" t="s">
        <v>434</v>
      </c>
      <c r="AP119" s="35" t="s">
        <v>396</v>
      </c>
    </row>
    <row r="120" spans="1:42" x14ac:dyDescent="0.2">
      <c r="A120" s="40">
        <v>17</v>
      </c>
      <c r="B120" s="40">
        <v>119</v>
      </c>
      <c r="C120" s="40" t="s">
        <v>357</v>
      </c>
      <c r="D120" s="38" t="s">
        <v>130</v>
      </c>
      <c r="E120" s="32" t="s">
        <v>2183</v>
      </c>
      <c r="F120" s="32" t="s">
        <v>237</v>
      </c>
      <c r="G120" s="38" t="s">
        <v>154</v>
      </c>
      <c r="H120" s="32" t="s">
        <v>151</v>
      </c>
      <c r="I120" s="32" t="s">
        <v>243</v>
      </c>
      <c r="J120" s="32" t="s">
        <v>423</v>
      </c>
      <c r="K120" s="32" t="s">
        <v>129</v>
      </c>
      <c r="L120" s="32" t="s">
        <v>30</v>
      </c>
      <c r="M120" s="32" t="s">
        <v>30</v>
      </c>
      <c r="N120" s="40">
        <v>2020</v>
      </c>
      <c r="O120" s="32">
        <f>VLOOKUP(Data!N1315, CPI!$A$2:$B$112, 2, 0)</f>
        <v>236.73599999999999</v>
      </c>
      <c r="P120" s="32" t="s">
        <v>238</v>
      </c>
      <c r="Q120" s="32" t="s">
        <v>239</v>
      </c>
      <c r="R120" s="32" t="s">
        <v>429</v>
      </c>
      <c r="S120" s="32">
        <v>2.5099999999999998</v>
      </c>
      <c r="T120" s="32" t="s">
        <v>430</v>
      </c>
      <c r="Z120" s="38" t="s">
        <v>347</v>
      </c>
      <c r="AA120" s="35" t="s">
        <v>1445</v>
      </c>
      <c r="AB120" s="32">
        <v>238</v>
      </c>
      <c r="AH120" s="32" t="s">
        <v>397</v>
      </c>
      <c r="AI120" s="32" t="s">
        <v>2268</v>
      </c>
      <c r="AK120" s="40" t="s">
        <v>431</v>
      </c>
      <c r="AL120" s="32">
        <v>2021</v>
      </c>
      <c r="AM120" s="32" t="s">
        <v>432</v>
      </c>
      <c r="AN120" s="32" t="s">
        <v>433</v>
      </c>
      <c r="AO120" s="38" t="s">
        <v>434</v>
      </c>
      <c r="AP120" s="35" t="s">
        <v>396</v>
      </c>
    </row>
    <row r="121" spans="1:42" x14ac:dyDescent="0.2">
      <c r="A121" s="40">
        <v>18</v>
      </c>
      <c r="B121" s="40">
        <v>120</v>
      </c>
      <c r="C121" s="40" t="s">
        <v>59</v>
      </c>
      <c r="D121" s="38" t="s">
        <v>209</v>
      </c>
      <c r="E121" s="32" t="s">
        <v>2186</v>
      </c>
      <c r="F121" s="32" t="s">
        <v>29</v>
      </c>
      <c r="G121" s="38" t="s">
        <v>29</v>
      </c>
      <c r="H121" s="32" t="s">
        <v>151</v>
      </c>
      <c r="I121" s="32" t="s">
        <v>243</v>
      </c>
      <c r="J121" s="32" t="s">
        <v>437</v>
      </c>
      <c r="K121" s="32" t="s">
        <v>129</v>
      </c>
      <c r="L121" s="32" t="s">
        <v>435</v>
      </c>
      <c r="M121" s="32" t="s">
        <v>436</v>
      </c>
      <c r="N121" s="40">
        <v>2017</v>
      </c>
      <c r="O121" s="32">
        <f>VLOOKUP(Data!N221, CPI!$A$2:$B$112, 2, 0)</f>
        <v>232.95699999999999</v>
      </c>
      <c r="P121" s="32" t="s">
        <v>16</v>
      </c>
      <c r="Q121" s="32" t="s">
        <v>239</v>
      </c>
      <c r="R121" s="32" t="s">
        <v>443</v>
      </c>
      <c r="S121" s="32">
        <v>4200000</v>
      </c>
      <c r="T121" s="32" t="s">
        <v>300</v>
      </c>
      <c r="U121" s="32">
        <f>S121/AB121</f>
        <v>41.379310344827587</v>
      </c>
      <c r="V121" s="32" t="s">
        <v>316</v>
      </c>
      <c r="X121" s="32">
        <f>U121</f>
        <v>41.379310344827587</v>
      </c>
      <c r="Y121" s="32">
        <f>(CPI!$B$112/O121)*X121</f>
        <v>54.118630447264728</v>
      </c>
      <c r="Z121" s="38" t="s">
        <v>262</v>
      </c>
      <c r="AA121" s="35" t="s">
        <v>1447</v>
      </c>
      <c r="AB121" s="32">
        <v>101500</v>
      </c>
      <c r="AC121" s="32" t="s">
        <v>2269</v>
      </c>
      <c r="AH121" s="32" t="s">
        <v>411</v>
      </c>
      <c r="AI121" s="32" t="s">
        <v>1539</v>
      </c>
      <c r="AJ121" s="35" t="s">
        <v>2270</v>
      </c>
      <c r="AK121" s="40" t="s">
        <v>447</v>
      </c>
      <c r="AL121" s="32">
        <v>2018</v>
      </c>
      <c r="AM121" s="32" t="s">
        <v>448</v>
      </c>
      <c r="AN121" s="32" t="s">
        <v>449</v>
      </c>
      <c r="AO121" s="38" t="s">
        <v>450</v>
      </c>
      <c r="AP121" s="35" t="s">
        <v>396</v>
      </c>
    </row>
    <row r="122" spans="1:42" x14ac:dyDescent="0.2">
      <c r="A122" s="40">
        <v>18</v>
      </c>
      <c r="B122" s="40">
        <v>121</v>
      </c>
      <c r="C122" s="40" t="s">
        <v>59</v>
      </c>
      <c r="D122" s="38" t="s">
        <v>209</v>
      </c>
      <c r="E122" s="32" t="s">
        <v>2186</v>
      </c>
      <c r="F122" s="32" t="s">
        <v>29</v>
      </c>
      <c r="G122" s="38" t="s">
        <v>29</v>
      </c>
      <c r="H122" s="32" t="s">
        <v>151</v>
      </c>
      <c r="I122" s="32" t="s">
        <v>243</v>
      </c>
      <c r="J122" s="32" t="s">
        <v>437</v>
      </c>
      <c r="K122" s="32" t="s">
        <v>129</v>
      </c>
      <c r="L122" s="32" t="s">
        <v>435</v>
      </c>
      <c r="M122" s="32" t="s">
        <v>436</v>
      </c>
      <c r="N122" s="40">
        <v>2017</v>
      </c>
      <c r="O122" s="32">
        <f>VLOOKUP(Data!N222, CPI!$A$2:$B$112, 2, 0)</f>
        <v>232.95699999999999</v>
      </c>
      <c r="P122" s="32" t="s">
        <v>16</v>
      </c>
      <c r="Q122" s="32" t="s">
        <v>164</v>
      </c>
      <c r="R122" s="32" t="s">
        <v>444</v>
      </c>
      <c r="S122" s="32">
        <v>19200000</v>
      </c>
      <c r="T122" s="32" t="s">
        <v>300</v>
      </c>
      <c r="U122" s="32">
        <f>S122/AB122</f>
        <v>189.16256157635468</v>
      </c>
      <c r="V122" s="32" t="s">
        <v>316</v>
      </c>
      <c r="X122" s="32">
        <f>U122</f>
        <v>189.16256157635468</v>
      </c>
      <c r="Y122" s="32">
        <f>(CPI!$B$112/O122)*X122</f>
        <v>247.39945347321017</v>
      </c>
      <c r="Z122" s="38" t="s">
        <v>262</v>
      </c>
      <c r="AA122" s="35" t="s">
        <v>1447</v>
      </c>
      <c r="AB122" s="32">
        <v>101500</v>
      </c>
      <c r="AC122" s="32" t="s">
        <v>2269</v>
      </c>
      <c r="AH122" s="32" t="s">
        <v>411</v>
      </c>
      <c r="AI122" s="32" t="s">
        <v>1539</v>
      </c>
      <c r="AJ122" s="35" t="s">
        <v>2270</v>
      </c>
      <c r="AK122" s="40" t="s">
        <v>447</v>
      </c>
      <c r="AL122" s="32">
        <v>2018</v>
      </c>
      <c r="AM122" s="32" t="s">
        <v>448</v>
      </c>
      <c r="AN122" s="32" t="s">
        <v>449</v>
      </c>
      <c r="AO122" s="38" t="s">
        <v>450</v>
      </c>
      <c r="AP122" s="35" t="s">
        <v>396</v>
      </c>
    </row>
    <row r="123" spans="1:42" x14ac:dyDescent="0.2">
      <c r="A123" s="40">
        <v>18</v>
      </c>
      <c r="B123" s="40">
        <v>122</v>
      </c>
      <c r="C123" s="40" t="s">
        <v>59</v>
      </c>
      <c r="D123" s="38" t="s">
        <v>209</v>
      </c>
      <c r="E123" s="32" t="s">
        <v>2186</v>
      </c>
      <c r="F123" s="32" t="s">
        <v>29</v>
      </c>
      <c r="G123" s="38" t="s">
        <v>29</v>
      </c>
      <c r="H123" s="32" t="s">
        <v>151</v>
      </c>
      <c r="I123" s="32" t="s">
        <v>243</v>
      </c>
      <c r="J123" s="32" t="s">
        <v>437</v>
      </c>
      <c r="K123" s="32" t="s">
        <v>129</v>
      </c>
      <c r="L123" s="32" t="s">
        <v>435</v>
      </c>
      <c r="M123" s="32" t="s">
        <v>436</v>
      </c>
      <c r="N123" s="40">
        <v>2017</v>
      </c>
      <c r="O123" s="32">
        <f>VLOOKUP(Data!N223, CPI!$A$2:$B$112, 2, 0)</f>
        <v>232.95699999999999</v>
      </c>
      <c r="P123" s="32" t="s">
        <v>16</v>
      </c>
      <c r="Q123" s="32" t="s">
        <v>164</v>
      </c>
      <c r="R123" s="32" t="s">
        <v>445</v>
      </c>
      <c r="S123" s="32">
        <v>18200000</v>
      </c>
      <c r="T123" s="32" t="s">
        <v>300</v>
      </c>
      <c r="U123" s="32">
        <f>S123/AB123</f>
        <v>179.31034482758622</v>
      </c>
      <c r="V123" s="32" t="s">
        <v>316</v>
      </c>
      <c r="X123" s="32">
        <f>U123</f>
        <v>179.31034482758622</v>
      </c>
      <c r="Y123" s="32">
        <f>(CPI!$B$112/O123)*X123</f>
        <v>234.51406527148052</v>
      </c>
      <c r="Z123" s="38" t="s">
        <v>262</v>
      </c>
      <c r="AA123" s="35" t="s">
        <v>1447</v>
      </c>
      <c r="AB123" s="32">
        <v>101500</v>
      </c>
      <c r="AC123" s="32" t="s">
        <v>2269</v>
      </c>
      <c r="AH123" s="32" t="s">
        <v>411</v>
      </c>
      <c r="AI123" s="32" t="s">
        <v>1539</v>
      </c>
      <c r="AJ123" s="35" t="s">
        <v>2270</v>
      </c>
      <c r="AK123" s="40" t="s">
        <v>447</v>
      </c>
      <c r="AL123" s="32">
        <v>2018</v>
      </c>
      <c r="AM123" s="32" t="s">
        <v>448</v>
      </c>
      <c r="AN123" s="32" t="s">
        <v>449</v>
      </c>
      <c r="AO123" s="38" t="s">
        <v>450</v>
      </c>
      <c r="AP123" s="35" t="s">
        <v>396</v>
      </c>
    </row>
    <row r="124" spans="1:42" x14ac:dyDescent="0.2">
      <c r="A124" s="40">
        <v>18</v>
      </c>
      <c r="B124" s="40">
        <v>123</v>
      </c>
      <c r="C124" s="40" t="s">
        <v>59</v>
      </c>
      <c r="D124" s="38" t="s">
        <v>209</v>
      </c>
      <c r="E124" s="32" t="s">
        <v>2186</v>
      </c>
      <c r="F124" s="32" t="s">
        <v>29</v>
      </c>
      <c r="G124" s="38" t="s">
        <v>29</v>
      </c>
      <c r="H124" s="32" t="s">
        <v>151</v>
      </c>
      <c r="I124" s="32" t="s">
        <v>243</v>
      </c>
      <c r="J124" s="32" t="s">
        <v>437</v>
      </c>
      <c r="K124" s="32" t="s">
        <v>129</v>
      </c>
      <c r="L124" s="32" t="s">
        <v>435</v>
      </c>
      <c r="M124" s="32" t="s">
        <v>436</v>
      </c>
      <c r="N124" s="40">
        <v>2017</v>
      </c>
      <c r="O124" s="32">
        <f>VLOOKUP(Data!N224, CPI!$A$2:$B$112, 2, 0)</f>
        <v>232.95699999999999</v>
      </c>
      <c r="P124" s="32" t="s">
        <v>16</v>
      </c>
      <c r="Q124" s="32" t="s">
        <v>164</v>
      </c>
      <c r="R124" s="32" t="s">
        <v>446</v>
      </c>
      <c r="S124" s="32">
        <v>17200000</v>
      </c>
      <c r="T124" s="32" t="s">
        <v>300</v>
      </c>
      <c r="U124" s="32">
        <f>S124/AB124</f>
        <v>169.45812807881774</v>
      </c>
      <c r="V124" s="32" t="s">
        <v>316</v>
      </c>
      <c r="X124" s="32">
        <f>U124</f>
        <v>169.45812807881774</v>
      </c>
      <c r="Y124" s="32">
        <f>(CPI!$B$112/O124)*X124</f>
        <v>221.62867706975078</v>
      </c>
      <c r="Z124" s="38" t="s">
        <v>262</v>
      </c>
      <c r="AA124" s="35" t="s">
        <v>1447</v>
      </c>
      <c r="AB124" s="32">
        <v>101500</v>
      </c>
      <c r="AC124" s="32" t="s">
        <v>2269</v>
      </c>
      <c r="AH124" s="32" t="s">
        <v>411</v>
      </c>
      <c r="AI124" s="32" t="s">
        <v>1539</v>
      </c>
      <c r="AJ124" s="35" t="s">
        <v>2270</v>
      </c>
      <c r="AK124" s="40" t="s">
        <v>447</v>
      </c>
      <c r="AL124" s="32">
        <v>2018</v>
      </c>
      <c r="AM124" s="32" t="s">
        <v>448</v>
      </c>
      <c r="AN124" s="32" t="s">
        <v>449</v>
      </c>
      <c r="AO124" s="38" t="s">
        <v>450</v>
      </c>
      <c r="AP124" s="35" t="s">
        <v>396</v>
      </c>
    </row>
    <row r="125" spans="1:42" x14ac:dyDescent="0.2">
      <c r="A125" s="40">
        <v>18</v>
      </c>
      <c r="B125" s="40">
        <v>124</v>
      </c>
      <c r="C125" s="40" t="s">
        <v>59</v>
      </c>
      <c r="D125" s="38" t="s">
        <v>209</v>
      </c>
      <c r="E125" s="32" t="s">
        <v>2185</v>
      </c>
      <c r="F125" s="32" t="s">
        <v>2894</v>
      </c>
      <c r="G125" s="38" t="s">
        <v>142</v>
      </c>
      <c r="H125" s="32" t="s">
        <v>151</v>
      </c>
      <c r="I125" s="32" t="s">
        <v>243</v>
      </c>
      <c r="J125" s="32" t="s">
        <v>437</v>
      </c>
      <c r="K125" s="32" t="s">
        <v>129</v>
      </c>
      <c r="L125" s="32" t="s">
        <v>435</v>
      </c>
      <c r="M125" s="32" t="s">
        <v>436</v>
      </c>
      <c r="N125" s="40">
        <v>2018</v>
      </c>
      <c r="O125" s="32">
        <f>VLOOKUP(Data!N1316, CPI!$A$2:$B$112, 2, 0)</f>
        <v>214.53700000000001</v>
      </c>
      <c r="P125" s="32" t="s">
        <v>16</v>
      </c>
      <c r="Q125" s="32" t="s">
        <v>239</v>
      </c>
      <c r="R125" s="32" t="s">
        <v>438</v>
      </c>
      <c r="S125" s="32">
        <v>22.47</v>
      </c>
      <c r="T125" s="32" t="s">
        <v>362</v>
      </c>
      <c r="Z125" s="38" t="s">
        <v>262</v>
      </c>
      <c r="AA125" s="35" t="s">
        <v>1447</v>
      </c>
      <c r="AB125" s="32">
        <v>101500</v>
      </c>
      <c r="AC125" s="32" t="s">
        <v>2269</v>
      </c>
      <c r="AH125" s="32" t="s">
        <v>422</v>
      </c>
      <c r="AI125" s="32" t="s">
        <v>1539</v>
      </c>
      <c r="AK125" s="40" t="s">
        <v>447</v>
      </c>
      <c r="AL125" s="32">
        <v>2018</v>
      </c>
      <c r="AM125" s="32" t="s">
        <v>448</v>
      </c>
      <c r="AN125" s="32" t="s">
        <v>449</v>
      </c>
      <c r="AO125" s="38" t="s">
        <v>450</v>
      </c>
      <c r="AP125" s="35" t="s">
        <v>396</v>
      </c>
    </row>
    <row r="126" spans="1:42" x14ac:dyDescent="0.2">
      <c r="A126" s="40">
        <v>18</v>
      </c>
      <c r="B126" s="40">
        <v>125</v>
      </c>
      <c r="C126" s="40" t="s">
        <v>59</v>
      </c>
      <c r="D126" s="38" t="s">
        <v>209</v>
      </c>
      <c r="E126" s="32" t="s">
        <v>2183</v>
      </c>
      <c r="F126" s="32" t="s">
        <v>244</v>
      </c>
      <c r="G126" s="38" t="s">
        <v>162</v>
      </c>
      <c r="H126" s="32" t="s">
        <v>151</v>
      </c>
      <c r="I126" s="32" t="s">
        <v>243</v>
      </c>
      <c r="J126" s="32" t="s">
        <v>437</v>
      </c>
      <c r="K126" s="32" t="s">
        <v>129</v>
      </c>
      <c r="L126" s="32" t="s">
        <v>435</v>
      </c>
      <c r="M126" s="32" t="s">
        <v>436</v>
      </c>
      <c r="N126" s="40">
        <v>2018</v>
      </c>
      <c r="O126" s="32">
        <f>VLOOKUP(Data!N1317, CPI!$A$2:$B$112, 2, 0)</f>
        <v>214.53700000000001</v>
      </c>
      <c r="P126" s="32" t="s">
        <v>16</v>
      </c>
      <c r="Q126" s="32" t="s">
        <v>239</v>
      </c>
      <c r="R126" s="32" t="s">
        <v>439</v>
      </c>
      <c r="S126" s="32">
        <v>20.74</v>
      </c>
      <c r="T126" s="32" t="s">
        <v>362</v>
      </c>
      <c r="Z126" s="38" t="s">
        <v>262</v>
      </c>
      <c r="AA126" s="35" t="s">
        <v>1447</v>
      </c>
      <c r="AB126" s="32">
        <v>101500</v>
      </c>
      <c r="AC126" s="32" t="s">
        <v>2269</v>
      </c>
      <c r="AH126" s="32" t="s">
        <v>422</v>
      </c>
      <c r="AI126" s="32" t="s">
        <v>1539</v>
      </c>
      <c r="AK126" s="40" t="s">
        <v>447</v>
      </c>
      <c r="AL126" s="32">
        <v>2018</v>
      </c>
      <c r="AM126" s="32" t="s">
        <v>448</v>
      </c>
      <c r="AN126" s="32" t="s">
        <v>449</v>
      </c>
      <c r="AO126" s="38" t="s">
        <v>450</v>
      </c>
      <c r="AP126" s="35" t="s">
        <v>396</v>
      </c>
    </row>
    <row r="127" spans="1:42" x14ac:dyDescent="0.2">
      <c r="A127" s="40">
        <v>18</v>
      </c>
      <c r="B127" s="40">
        <v>126</v>
      </c>
      <c r="C127" s="40" t="s">
        <v>59</v>
      </c>
      <c r="D127" s="38" t="s">
        <v>209</v>
      </c>
      <c r="E127" s="32" t="s">
        <v>2184</v>
      </c>
      <c r="F127" s="32" t="s">
        <v>131</v>
      </c>
      <c r="G127" s="38" t="s">
        <v>20</v>
      </c>
      <c r="H127" s="32" t="s">
        <v>151</v>
      </c>
      <c r="I127" s="32" t="s">
        <v>243</v>
      </c>
      <c r="J127" s="32" t="s">
        <v>437</v>
      </c>
      <c r="K127" s="32" t="s">
        <v>129</v>
      </c>
      <c r="L127" s="32" t="s">
        <v>435</v>
      </c>
      <c r="M127" s="32" t="s">
        <v>436</v>
      </c>
      <c r="N127" s="40">
        <v>2018</v>
      </c>
      <c r="O127" s="32">
        <f>VLOOKUP(Data!N1318, CPI!$A$2:$B$112, 2, 0)</f>
        <v>214.53700000000001</v>
      </c>
      <c r="P127" s="32" t="s">
        <v>16</v>
      </c>
      <c r="Q127" s="32" t="s">
        <v>239</v>
      </c>
      <c r="R127" s="32" t="s">
        <v>441</v>
      </c>
      <c r="S127" s="32">
        <v>3.89</v>
      </c>
      <c r="T127" s="32" t="s">
        <v>362</v>
      </c>
      <c r="Z127" s="38" t="s">
        <v>262</v>
      </c>
      <c r="AA127" s="35" t="s">
        <v>1447</v>
      </c>
      <c r="AB127" s="32">
        <v>101500</v>
      </c>
      <c r="AC127" s="32" t="s">
        <v>2269</v>
      </c>
      <c r="AH127" s="32" t="s">
        <v>422</v>
      </c>
      <c r="AI127" s="32" t="s">
        <v>1539</v>
      </c>
      <c r="AK127" s="40" t="s">
        <v>447</v>
      </c>
      <c r="AL127" s="32">
        <v>2018</v>
      </c>
      <c r="AM127" s="32" t="s">
        <v>448</v>
      </c>
      <c r="AN127" s="32" t="s">
        <v>449</v>
      </c>
      <c r="AO127" s="38" t="s">
        <v>450</v>
      </c>
      <c r="AP127" s="35" t="s">
        <v>396</v>
      </c>
    </row>
    <row r="128" spans="1:42" x14ac:dyDescent="0.2">
      <c r="A128" s="40">
        <v>18</v>
      </c>
      <c r="B128" s="40">
        <v>127</v>
      </c>
      <c r="C128" s="40" t="s">
        <v>59</v>
      </c>
      <c r="D128" s="38" t="s">
        <v>209</v>
      </c>
      <c r="E128" s="32" t="s">
        <v>2186</v>
      </c>
      <c r="F128" s="32" t="s">
        <v>29</v>
      </c>
      <c r="G128" s="38" t="s">
        <v>29</v>
      </c>
      <c r="H128" s="32" t="s">
        <v>151</v>
      </c>
      <c r="I128" s="32" t="s">
        <v>243</v>
      </c>
      <c r="J128" s="32" t="s">
        <v>437</v>
      </c>
      <c r="K128" s="32" t="s">
        <v>129</v>
      </c>
      <c r="L128" s="32" t="s">
        <v>435</v>
      </c>
      <c r="M128" s="32" t="s">
        <v>436</v>
      </c>
      <c r="N128" s="40">
        <v>2018</v>
      </c>
      <c r="O128" s="32">
        <f>VLOOKUP(Data!N1319, CPI!$A$2:$B$112, 2, 0)</f>
        <v>214.53700000000001</v>
      </c>
      <c r="P128" s="32" t="s">
        <v>16</v>
      </c>
      <c r="Q128" s="32" t="s">
        <v>239</v>
      </c>
      <c r="R128" s="32" t="s">
        <v>440</v>
      </c>
      <c r="S128" s="32">
        <v>1.78</v>
      </c>
      <c r="T128" s="32" t="s">
        <v>362</v>
      </c>
      <c r="Z128" s="38" t="s">
        <v>262</v>
      </c>
      <c r="AA128" s="55" t="s">
        <v>1447</v>
      </c>
      <c r="AB128" s="32">
        <v>101500</v>
      </c>
      <c r="AC128" s="32" t="s">
        <v>2269</v>
      </c>
      <c r="AH128" s="32" t="s">
        <v>422</v>
      </c>
      <c r="AI128" s="32" t="s">
        <v>1539</v>
      </c>
      <c r="AK128" s="40" t="s">
        <v>447</v>
      </c>
      <c r="AL128" s="32">
        <v>2018</v>
      </c>
      <c r="AM128" s="32" t="s">
        <v>448</v>
      </c>
      <c r="AN128" s="32" t="s">
        <v>449</v>
      </c>
      <c r="AO128" s="38" t="s">
        <v>450</v>
      </c>
      <c r="AP128" s="35" t="s">
        <v>396</v>
      </c>
    </row>
    <row r="129" spans="1:42" x14ac:dyDescent="0.2">
      <c r="A129" s="40">
        <v>18</v>
      </c>
      <c r="B129" s="40">
        <v>128</v>
      </c>
      <c r="C129" s="40" t="s">
        <v>59</v>
      </c>
      <c r="D129" s="38" t="s">
        <v>209</v>
      </c>
      <c r="E129" s="32" t="s">
        <v>2186</v>
      </c>
      <c r="F129" s="32" t="s">
        <v>29</v>
      </c>
      <c r="G129" s="38" t="s">
        <v>29</v>
      </c>
      <c r="H129" s="32" t="s">
        <v>151</v>
      </c>
      <c r="I129" s="32" t="s">
        <v>243</v>
      </c>
      <c r="J129" s="32" t="s">
        <v>437</v>
      </c>
      <c r="K129" s="32" t="s">
        <v>129</v>
      </c>
      <c r="L129" s="32" t="s">
        <v>435</v>
      </c>
      <c r="M129" s="32" t="s">
        <v>436</v>
      </c>
      <c r="N129" s="40">
        <v>2018</v>
      </c>
      <c r="O129" s="32">
        <f>VLOOKUP(Data!N1320, CPI!$A$2:$B$112, 2, 0)</f>
        <v>214.53700000000001</v>
      </c>
      <c r="P129" s="32" t="s">
        <v>16</v>
      </c>
      <c r="Q129" s="32" t="s">
        <v>239</v>
      </c>
      <c r="R129" s="32" t="s">
        <v>442</v>
      </c>
      <c r="S129" s="32">
        <v>37.74</v>
      </c>
      <c r="T129" s="32" t="s">
        <v>362</v>
      </c>
      <c r="Z129" s="38" t="s">
        <v>262</v>
      </c>
      <c r="AA129" s="55" t="s">
        <v>1447</v>
      </c>
      <c r="AB129" s="32">
        <v>101500</v>
      </c>
      <c r="AC129" s="32" t="s">
        <v>2269</v>
      </c>
      <c r="AH129" s="32" t="s">
        <v>422</v>
      </c>
      <c r="AI129" s="32" t="s">
        <v>1539</v>
      </c>
      <c r="AK129" s="40" t="s">
        <v>447</v>
      </c>
      <c r="AL129" s="32">
        <v>2018</v>
      </c>
      <c r="AM129" s="32" t="s">
        <v>448</v>
      </c>
      <c r="AN129" s="32" t="s">
        <v>449</v>
      </c>
      <c r="AO129" s="38" t="s">
        <v>450</v>
      </c>
      <c r="AP129" s="35" t="s">
        <v>396</v>
      </c>
    </row>
    <row r="130" spans="1:42" x14ac:dyDescent="0.2">
      <c r="A130" s="40">
        <v>19</v>
      </c>
      <c r="B130" s="40">
        <v>129</v>
      </c>
      <c r="C130" s="40" t="s">
        <v>39</v>
      </c>
      <c r="D130" s="38" t="s">
        <v>214</v>
      </c>
      <c r="E130" s="32" t="s">
        <v>2183</v>
      </c>
      <c r="F130" s="32" t="s">
        <v>237</v>
      </c>
      <c r="G130" s="38" t="s">
        <v>1923</v>
      </c>
      <c r="H130" s="32" t="s">
        <v>151</v>
      </c>
      <c r="I130" s="32" t="s">
        <v>243</v>
      </c>
      <c r="J130" s="32" t="s">
        <v>451</v>
      </c>
      <c r="K130" s="32" t="s">
        <v>129</v>
      </c>
      <c r="L130" s="32" t="s">
        <v>30</v>
      </c>
      <c r="M130" s="32" t="s">
        <v>30</v>
      </c>
      <c r="N130" s="40">
        <v>2013</v>
      </c>
      <c r="O130" s="32">
        <f>VLOOKUP(Data!N24, CPI!$A$2:$B$112, 2, 0)</f>
        <v>195.3</v>
      </c>
      <c r="P130" s="32" t="s">
        <v>238</v>
      </c>
      <c r="Q130" s="32" t="s">
        <v>239</v>
      </c>
      <c r="R130" s="32" t="s">
        <v>452</v>
      </c>
      <c r="S130" s="32">
        <v>8486.25</v>
      </c>
      <c r="T130" s="32" t="s">
        <v>2271</v>
      </c>
      <c r="U130" s="32">
        <f>(S130*63000)/AB130</f>
        <v>1163.0057646291059</v>
      </c>
      <c r="V130" s="32" t="s">
        <v>2211</v>
      </c>
      <c r="W130" s="32">
        <f>VLOOKUP(N130, 'Exchange rate-Kenya'!$A$3:$B$65, 2, 0)</f>
        <v>86.122878898265398</v>
      </c>
      <c r="X130" s="32">
        <f>U130/W130</f>
        <v>13.504027959898238</v>
      </c>
      <c r="Y130" s="32">
        <f>(CPI!$B$112/O130)*X130</f>
        <v>21.066888636615079</v>
      </c>
      <c r="Z130" s="38" t="s">
        <v>303</v>
      </c>
      <c r="AA130" s="56" t="s">
        <v>1425</v>
      </c>
      <c r="AB130" s="32">
        <v>459700</v>
      </c>
      <c r="AC130" s="32" t="s">
        <v>2272</v>
      </c>
      <c r="AE130" s="32">
        <v>63000</v>
      </c>
      <c r="AG130"/>
      <c r="AH130" s="32" t="s">
        <v>411</v>
      </c>
      <c r="AJ130" s="35" t="s">
        <v>2273</v>
      </c>
      <c r="AK130" s="40" t="s">
        <v>457</v>
      </c>
      <c r="AL130" s="32">
        <v>2018</v>
      </c>
      <c r="AM130" s="32" t="s">
        <v>458</v>
      </c>
      <c r="AN130" s="32" t="s">
        <v>459</v>
      </c>
      <c r="AO130" s="38" t="s">
        <v>460</v>
      </c>
      <c r="AP130" s="35" t="s">
        <v>396</v>
      </c>
    </row>
    <row r="131" spans="1:42" x14ac:dyDescent="0.2">
      <c r="A131" s="40">
        <v>19</v>
      </c>
      <c r="B131" s="40">
        <v>130</v>
      </c>
      <c r="C131" s="40" t="s">
        <v>39</v>
      </c>
      <c r="D131" s="38" t="s">
        <v>214</v>
      </c>
      <c r="E131" s="32" t="s">
        <v>2183</v>
      </c>
      <c r="F131" s="32" t="s">
        <v>237</v>
      </c>
      <c r="G131" s="38" t="s">
        <v>1923</v>
      </c>
      <c r="H131" s="32" t="s">
        <v>151</v>
      </c>
      <c r="I131" s="32" t="s">
        <v>243</v>
      </c>
      <c r="J131" s="32" t="s">
        <v>451</v>
      </c>
      <c r="K131" s="32" t="s">
        <v>129</v>
      </c>
      <c r="L131" s="32" t="s">
        <v>30</v>
      </c>
      <c r="M131" s="32" t="s">
        <v>30</v>
      </c>
      <c r="N131" s="40">
        <v>2013</v>
      </c>
      <c r="O131" s="32">
        <f>VLOOKUP(Data!N25, CPI!$A$2:$B$112, 2, 0)</f>
        <v>195.3</v>
      </c>
      <c r="P131" s="32" t="s">
        <v>238</v>
      </c>
      <c r="Q131" s="32" t="s">
        <v>239</v>
      </c>
      <c r="R131" s="32" t="s">
        <v>453</v>
      </c>
      <c r="S131" s="32">
        <v>5181.75</v>
      </c>
      <c r="T131" s="32" t="s">
        <v>2271</v>
      </c>
      <c r="U131" s="32">
        <f>(S131*63000)/AB131</f>
        <v>710.13758973243421</v>
      </c>
      <c r="V131" s="32" t="s">
        <v>2211</v>
      </c>
      <c r="W131" s="32">
        <f>VLOOKUP(N131, 'Exchange rate-Kenya'!$A$3:$B$65, 2, 0)</f>
        <v>86.122878898265398</v>
      </c>
      <c r="X131" s="32">
        <f>U131/W131</f>
        <v>8.2456322735251373</v>
      </c>
      <c r="Y131" s="32">
        <f>(CPI!$B$112/O131)*X131</f>
        <v>12.863555774668457</v>
      </c>
      <c r="Z131" s="38" t="s">
        <v>303</v>
      </c>
      <c r="AA131" s="56" t="s">
        <v>1464</v>
      </c>
      <c r="AB131" s="32">
        <v>459700</v>
      </c>
      <c r="AC131" s="32" t="s">
        <v>2272</v>
      </c>
      <c r="AE131" s="32">
        <v>63000</v>
      </c>
      <c r="AG131">
        <v>1.0017709226849301</v>
      </c>
      <c r="AH131" s="32" t="s">
        <v>411</v>
      </c>
      <c r="AJ131" s="35" t="s">
        <v>2273</v>
      </c>
      <c r="AK131" s="40" t="s">
        <v>457</v>
      </c>
      <c r="AL131" s="32">
        <v>2019</v>
      </c>
      <c r="AM131" s="32" t="s">
        <v>458</v>
      </c>
      <c r="AN131" s="32" t="s">
        <v>459</v>
      </c>
      <c r="AO131" s="38" t="s">
        <v>461</v>
      </c>
      <c r="AP131" s="35" t="s">
        <v>396</v>
      </c>
    </row>
    <row r="132" spans="1:42" x14ac:dyDescent="0.2">
      <c r="A132" s="40">
        <v>19</v>
      </c>
      <c r="B132" s="40">
        <v>131</v>
      </c>
      <c r="C132" s="40" t="s">
        <v>39</v>
      </c>
      <c r="D132" s="38" t="s">
        <v>214</v>
      </c>
      <c r="E132" s="32" t="s">
        <v>2183</v>
      </c>
      <c r="F132" s="32" t="s">
        <v>237</v>
      </c>
      <c r="G132" s="38" t="s">
        <v>1923</v>
      </c>
      <c r="H132" s="32" t="s">
        <v>151</v>
      </c>
      <c r="I132" s="32" t="s">
        <v>243</v>
      </c>
      <c r="J132" s="32" t="s">
        <v>451</v>
      </c>
      <c r="K132" s="32" t="s">
        <v>129</v>
      </c>
      <c r="L132" s="32" t="s">
        <v>30</v>
      </c>
      <c r="M132" s="32" t="s">
        <v>30</v>
      </c>
      <c r="N132" s="40">
        <v>2013</v>
      </c>
      <c r="O132" s="32">
        <f>VLOOKUP(Data!N26, CPI!$A$2:$B$112, 2, 0)</f>
        <v>195.3</v>
      </c>
      <c r="P132" s="32" t="s">
        <v>238</v>
      </c>
      <c r="Q132" s="32" t="s">
        <v>239</v>
      </c>
      <c r="R132" s="32" t="s">
        <v>454</v>
      </c>
      <c r="S132" s="57">
        <v>12171.67</v>
      </c>
      <c r="T132" s="32" t="s">
        <v>2271</v>
      </c>
      <c r="U132" s="32">
        <f>(S132*63000)/AB132</f>
        <v>1668.0774635631933</v>
      </c>
      <c r="V132" s="32" t="s">
        <v>2211</v>
      </c>
      <c r="W132" s="32">
        <f>VLOOKUP(N132, 'Exchange rate-Kenya'!$A$3:$B$65, 2, 0)</f>
        <v>86.122878898265398</v>
      </c>
      <c r="X132" s="32">
        <f>U132/W132</f>
        <v>19.368575283388374</v>
      </c>
      <c r="Y132" s="32">
        <f>(CPI!$B$112/O132)*X132</f>
        <v>30.215845209795692</v>
      </c>
      <c r="Z132" s="38" t="s">
        <v>303</v>
      </c>
      <c r="AA132" s="56" t="s">
        <v>1445</v>
      </c>
      <c r="AB132" s="32">
        <v>459700</v>
      </c>
      <c r="AC132" s="32" t="s">
        <v>2272</v>
      </c>
      <c r="AE132" s="32">
        <v>63000</v>
      </c>
      <c r="AG132"/>
      <c r="AH132" s="32" t="s">
        <v>411</v>
      </c>
      <c r="AJ132" s="35" t="s">
        <v>2273</v>
      </c>
      <c r="AK132" s="40" t="s">
        <v>457</v>
      </c>
      <c r="AL132" s="32">
        <v>2020</v>
      </c>
      <c r="AM132" s="32" t="s">
        <v>458</v>
      </c>
      <c r="AN132" s="32" t="s">
        <v>459</v>
      </c>
      <c r="AO132" s="38" t="s">
        <v>462</v>
      </c>
      <c r="AP132" s="35" t="s">
        <v>396</v>
      </c>
    </row>
    <row r="133" spans="1:42" x14ac:dyDescent="0.2">
      <c r="A133" s="40">
        <v>19</v>
      </c>
      <c r="B133" s="40">
        <v>132</v>
      </c>
      <c r="C133" s="40" t="s">
        <v>39</v>
      </c>
      <c r="D133" s="38" t="s">
        <v>214</v>
      </c>
      <c r="E133" s="32" t="s">
        <v>2183</v>
      </c>
      <c r="F133" s="32" t="s">
        <v>237</v>
      </c>
      <c r="G133" s="38" t="s">
        <v>1923</v>
      </c>
      <c r="H133" s="32" t="s">
        <v>151</v>
      </c>
      <c r="I133" s="32" t="s">
        <v>243</v>
      </c>
      <c r="J133" s="32" t="s">
        <v>451</v>
      </c>
      <c r="K133" s="32" t="s">
        <v>129</v>
      </c>
      <c r="L133" s="32" t="s">
        <v>30</v>
      </c>
      <c r="M133" s="32" t="s">
        <v>30</v>
      </c>
      <c r="N133" s="40">
        <v>2013</v>
      </c>
      <c r="O133" s="32">
        <f>VLOOKUP(Data!N27, CPI!$A$2:$B$112, 2, 0)</f>
        <v>195.3</v>
      </c>
      <c r="P133" s="32" t="s">
        <v>238</v>
      </c>
      <c r="Q133" s="32" t="s">
        <v>239</v>
      </c>
      <c r="R133" s="32" t="s">
        <v>455</v>
      </c>
      <c r="S133" s="57">
        <v>17866.669999999998</v>
      </c>
      <c r="T133" s="32" t="s">
        <v>2271</v>
      </c>
      <c r="U133" s="32">
        <f>(S133*63000)/AB133</f>
        <v>2448.5538612138353</v>
      </c>
      <c r="V133" s="32" t="s">
        <v>2211</v>
      </c>
      <c r="W133" s="32">
        <f>VLOOKUP(N133, 'Exchange rate-Kenya'!$A$3:$B$65, 2, 0)</f>
        <v>86.122878898265398</v>
      </c>
      <c r="X133" s="32">
        <f>U133/W133</f>
        <v>28.43093371398145</v>
      </c>
      <c r="Y133" s="32">
        <f>(CPI!$B$112/O133)*X133</f>
        <v>44.353530381163836</v>
      </c>
      <c r="Z133" s="38" t="s">
        <v>303</v>
      </c>
      <c r="AA133" s="56" t="s">
        <v>1412</v>
      </c>
      <c r="AB133" s="32">
        <v>459700</v>
      </c>
      <c r="AC133" s="32" t="s">
        <v>2272</v>
      </c>
      <c r="AE133" s="32">
        <v>63000</v>
      </c>
      <c r="AG133"/>
      <c r="AH133" s="32" t="s">
        <v>411</v>
      </c>
      <c r="AJ133" s="35" t="s">
        <v>2273</v>
      </c>
      <c r="AK133" s="40" t="s">
        <v>457</v>
      </c>
      <c r="AL133" s="32">
        <v>2021</v>
      </c>
      <c r="AM133" s="32" t="s">
        <v>458</v>
      </c>
      <c r="AN133" s="32" t="s">
        <v>459</v>
      </c>
      <c r="AO133" s="38" t="s">
        <v>463</v>
      </c>
      <c r="AP133" s="35" t="s">
        <v>396</v>
      </c>
    </row>
    <row r="134" spans="1:42" x14ac:dyDescent="0.2">
      <c r="A134" s="40">
        <v>19</v>
      </c>
      <c r="B134" s="40">
        <v>133</v>
      </c>
      <c r="C134" s="40" t="s">
        <v>39</v>
      </c>
      <c r="D134" s="38" t="s">
        <v>214</v>
      </c>
      <c r="E134" s="32" t="s">
        <v>2186</v>
      </c>
      <c r="F134" s="32" t="s">
        <v>29</v>
      </c>
      <c r="G134" s="38" t="s">
        <v>29</v>
      </c>
      <c r="H134" s="32" t="s">
        <v>151</v>
      </c>
      <c r="I134" s="32" t="s">
        <v>243</v>
      </c>
      <c r="J134" s="32" t="s">
        <v>451</v>
      </c>
      <c r="K134" s="32" t="s">
        <v>129</v>
      </c>
      <c r="L134" s="32" t="s">
        <v>30</v>
      </c>
      <c r="M134" s="32" t="s">
        <v>30</v>
      </c>
      <c r="N134" s="40">
        <v>2013</v>
      </c>
      <c r="O134" s="32">
        <f>VLOOKUP(Data!N28, CPI!$A$2:$B$112, 2, 0)</f>
        <v>195.3</v>
      </c>
      <c r="P134" s="32" t="s">
        <v>56</v>
      </c>
      <c r="Q134" s="32" t="s">
        <v>239</v>
      </c>
      <c r="R134" s="32" t="s">
        <v>456</v>
      </c>
      <c r="S134" s="32">
        <v>941.08</v>
      </c>
      <c r="T134" s="32" t="s">
        <v>2271</v>
      </c>
      <c r="U134" s="32">
        <f>(S134*63000)/AB134</f>
        <v>128.97115510115293</v>
      </c>
      <c r="V134" s="32" t="s">
        <v>2211</v>
      </c>
      <c r="W134" s="32">
        <f>VLOOKUP(N134, 'Exchange rate-Kenya'!$A$3:$B$65, 2, 0)</f>
        <v>86.122878898265398</v>
      </c>
      <c r="X134" s="32">
        <f>U134/W134</f>
        <v>1.4975248940935082</v>
      </c>
      <c r="Y134" s="32">
        <f>(CPI!$B$112/O134)*X134</f>
        <v>2.3362059281951062</v>
      </c>
      <c r="Z134" s="38" t="s">
        <v>303</v>
      </c>
      <c r="AA134" s="56" t="s">
        <v>1446</v>
      </c>
      <c r="AB134" s="32">
        <v>459700</v>
      </c>
      <c r="AC134" s="32" t="s">
        <v>2272</v>
      </c>
      <c r="AE134" s="32">
        <v>63000</v>
      </c>
      <c r="AG134">
        <v>22.936728260869501</v>
      </c>
      <c r="AH134" s="32" t="s">
        <v>411</v>
      </c>
      <c r="AJ134" s="35" t="s">
        <v>2273</v>
      </c>
      <c r="AK134" s="40" t="s">
        <v>457</v>
      </c>
      <c r="AL134" s="32">
        <v>2022</v>
      </c>
      <c r="AM134" s="32" t="s">
        <v>458</v>
      </c>
      <c r="AN134" s="32" t="s">
        <v>459</v>
      </c>
      <c r="AO134" s="38" t="s">
        <v>464</v>
      </c>
      <c r="AP134" s="35" t="s">
        <v>396</v>
      </c>
    </row>
    <row r="135" spans="1:42" x14ac:dyDescent="0.2">
      <c r="A135" s="40">
        <v>20</v>
      </c>
      <c r="B135" s="40">
        <v>134</v>
      </c>
      <c r="C135" s="51" t="s">
        <v>119</v>
      </c>
      <c r="D135" s="38" t="s">
        <v>128</v>
      </c>
      <c r="E135" s="32" t="s">
        <v>2183</v>
      </c>
      <c r="F135" s="32" t="s">
        <v>126</v>
      </c>
      <c r="G135" s="38" t="s">
        <v>60</v>
      </c>
      <c r="H135" s="32" t="s">
        <v>115</v>
      </c>
      <c r="I135" s="32" t="s">
        <v>243</v>
      </c>
      <c r="J135" s="32" t="s">
        <v>261</v>
      </c>
      <c r="K135" s="32" t="s">
        <v>129</v>
      </c>
      <c r="L135" s="32">
        <v>0.33</v>
      </c>
      <c r="M135" s="32">
        <v>34.67</v>
      </c>
      <c r="N135" s="40">
        <v>2005</v>
      </c>
      <c r="O135" s="32">
        <f>VLOOKUP(Data!N1321, CPI!$A$2:$B$112, 2, 0)</f>
        <v>214.53700000000001</v>
      </c>
      <c r="P135" s="32" t="s">
        <v>238</v>
      </c>
      <c r="Q135" s="32" t="s">
        <v>239</v>
      </c>
      <c r="R135" s="32" t="s">
        <v>465</v>
      </c>
      <c r="S135" s="32">
        <v>10.47</v>
      </c>
      <c r="T135" s="32" t="s">
        <v>497</v>
      </c>
      <c r="Z135" s="38" t="s">
        <v>347</v>
      </c>
      <c r="AA135" s="55" t="s">
        <v>1448</v>
      </c>
      <c r="AB135" s="32">
        <v>24000</v>
      </c>
      <c r="AC135" s="32" t="s">
        <v>2274</v>
      </c>
      <c r="AH135" s="32" t="s">
        <v>397</v>
      </c>
      <c r="AI135" s="32" t="s">
        <v>2268</v>
      </c>
      <c r="AK135" s="40" t="s">
        <v>498</v>
      </c>
      <c r="AL135" s="32">
        <v>2009</v>
      </c>
      <c r="AM135" s="32" t="s">
        <v>499</v>
      </c>
      <c r="AN135" s="32" t="s">
        <v>500</v>
      </c>
      <c r="AO135" s="38" t="s">
        <v>501</v>
      </c>
      <c r="AP135" s="35" t="s">
        <v>396</v>
      </c>
    </row>
    <row r="136" spans="1:42" x14ac:dyDescent="0.2">
      <c r="A136" s="40">
        <v>20</v>
      </c>
      <c r="B136" s="40">
        <v>135</v>
      </c>
      <c r="C136" s="51" t="s">
        <v>119</v>
      </c>
      <c r="D136" s="38" t="s">
        <v>128</v>
      </c>
      <c r="E136" s="32" t="s">
        <v>2183</v>
      </c>
      <c r="F136" s="32" t="s">
        <v>126</v>
      </c>
      <c r="G136" s="38" t="s">
        <v>127</v>
      </c>
      <c r="H136" s="32" t="s">
        <v>115</v>
      </c>
      <c r="I136" s="32" t="s">
        <v>243</v>
      </c>
      <c r="J136" s="32" t="s">
        <v>261</v>
      </c>
      <c r="K136" s="32" t="s">
        <v>129</v>
      </c>
      <c r="L136" s="32">
        <v>0.33</v>
      </c>
      <c r="M136" s="32">
        <v>34.67</v>
      </c>
      <c r="N136" s="40">
        <v>2005</v>
      </c>
      <c r="O136" s="32">
        <f>VLOOKUP(Data!N1322, CPI!$A$2:$B$112, 2, 0)</f>
        <v>214.53700000000001</v>
      </c>
      <c r="P136" s="32" t="s">
        <v>238</v>
      </c>
      <c r="Q136" s="32" t="s">
        <v>239</v>
      </c>
      <c r="R136" s="32" t="s">
        <v>466</v>
      </c>
      <c r="S136" s="32">
        <v>0.11</v>
      </c>
      <c r="T136" s="32" t="s">
        <v>430</v>
      </c>
      <c r="Z136" s="38" t="s">
        <v>347</v>
      </c>
      <c r="AA136" s="55" t="s">
        <v>1448</v>
      </c>
      <c r="AB136" s="32">
        <v>24000</v>
      </c>
      <c r="AC136" s="32" t="s">
        <v>2274</v>
      </c>
      <c r="AH136" s="32" t="s">
        <v>397</v>
      </c>
      <c r="AI136" s="32" t="s">
        <v>2268</v>
      </c>
      <c r="AK136" s="40" t="s">
        <v>498</v>
      </c>
      <c r="AL136" s="32">
        <v>2009</v>
      </c>
      <c r="AM136" s="32" t="s">
        <v>499</v>
      </c>
      <c r="AN136" s="32" t="s">
        <v>500</v>
      </c>
      <c r="AO136" s="38" t="s">
        <v>501</v>
      </c>
      <c r="AP136" s="35" t="s">
        <v>396</v>
      </c>
    </row>
    <row r="137" spans="1:42" x14ac:dyDescent="0.2">
      <c r="A137" s="40">
        <v>20</v>
      </c>
      <c r="B137" s="40">
        <v>136</v>
      </c>
      <c r="C137" s="51" t="s">
        <v>119</v>
      </c>
      <c r="D137" s="38" t="s">
        <v>128</v>
      </c>
      <c r="E137" s="32" t="s">
        <v>2183</v>
      </c>
      <c r="F137" s="32" t="s">
        <v>126</v>
      </c>
      <c r="G137" s="38" t="s">
        <v>153</v>
      </c>
      <c r="H137" s="32" t="s">
        <v>115</v>
      </c>
      <c r="I137" s="32" t="s">
        <v>243</v>
      </c>
      <c r="J137" s="32" t="s">
        <v>261</v>
      </c>
      <c r="K137" s="32" t="s">
        <v>129</v>
      </c>
      <c r="L137" s="32">
        <v>0.33</v>
      </c>
      <c r="M137" s="32">
        <v>34.67</v>
      </c>
      <c r="N137" s="40">
        <v>2005</v>
      </c>
      <c r="O137" s="32">
        <f>VLOOKUP(Data!N1323, CPI!$A$2:$B$112, 2, 0)</f>
        <v>214.53700000000001</v>
      </c>
      <c r="P137" s="32" t="s">
        <v>238</v>
      </c>
      <c r="Q137" s="32" t="s">
        <v>239</v>
      </c>
      <c r="R137" s="32" t="s">
        <v>467</v>
      </c>
      <c r="S137" s="32">
        <v>0.03</v>
      </c>
      <c r="T137" s="32" t="s">
        <v>430</v>
      </c>
      <c r="Z137" s="38" t="s">
        <v>347</v>
      </c>
      <c r="AA137" s="55" t="s">
        <v>1448</v>
      </c>
      <c r="AB137" s="32">
        <v>24000</v>
      </c>
      <c r="AC137" s="32" t="s">
        <v>2274</v>
      </c>
      <c r="AH137" s="32" t="s">
        <v>397</v>
      </c>
      <c r="AI137" s="32" t="s">
        <v>2268</v>
      </c>
      <c r="AK137" s="40" t="s">
        <v>498</v>
      </c>
      <c r="AL137" s="32">
        <v>2009</v>
      </c>
      <c r="AM137" s="32" t="s">
        <v>499</v>
      </c>
      <c r="AN137" s="32" t="s">
        <v>500</v>
      </c>
      <c r="AO137" s="38" t="s">
        <v>501</v>
      </c>
      <c r="AP137" s="35" t="s">
        <v>396</v>
      </c>
    </row>
    <row r="138" spans="1:42" x14ac:dyDescent="0.2">
      <c r="A138" s="40">
        <v>20</v>
      </c>
      <c r="B138" s="40">
        <v>137</v>
      </c>
      <c r="C138" s="51" t="s">
        <v>119</v>
      </c>
      <c r="D138" s="38" t="s">
        <v>128</v>
      </c>
      <c r="E138" s="32" t="s">
        <v>2186</v>
      </c>
      <c r="F138" s="32" t="s">
        <v>29</v>
      </c>
      <c r="G138" s="38" t="s">
        <v>29</v>
      </c>
      <c r="H138" s="32" t="s">
        <v>115</v>
      </c>
      <c r="I138" s="32" t="s">
        <v>243</v>
      </c>
      <c r="J138" s="32" t="s">
        <v>261</v>
      </c>
      <c r="K138" s="32" t="s">
        <v>129</v>
      </c>
      <c r="L138" s="32">
        <v>0.33</v>
      </c>
      <c r="M138" s="32">
        <v>34.67</v>
      </c>
      <c r="N138" s="40">
        <v>2005</v>
      </c>
      <c r="O138" s="32">
        <f>VLOOKUP(Data!N1324, CPI!$A$2:$B$112, 2, 0)</f>
        <v>214.53700000000001</v>
      </c>
      <c r="P138" s="32" t="s">
        <v>238</v>
      </c>
      <c r="Q138" s="32" t="s">
        <v>239</v>
      </c>
      <c r="R138" s="32" t="s">
        <v>468</v>
      </c>
      <c r="S138" s="32">
        <v>65.989999999999995</v>
      </c>
      <c r="T138" s="32" t="s">
        <v>346</v>
      </c>
      <c r="Z138" s="38" t="s">
        <v>347</v>
      </c>
      <c r="AA138" s="55" t="s">
        <v>1448</v>
      </c>
      <c r="AB138" s="32">
        <v>24000</v>
      </c>
      <c r="AC138" s="32" t="s">
        <v>2274</v>
      </c>
      <c r="AH138" s="32" t="s">
        <v>397</v>
      </c>
      <c r="AI138" s="32" t="s">
        <v>2268</v>
      </c>
      <c r="AK138" s="40" t="s">
        <v>498</v>
      </c>
      <c r="AL138" s="32">
        <v>2009</v>
      </c>
      <c r="AM138" s="32" t="s">
        <v>499</v>
      </c>
      <c r="AN138" s="32" t="s">
        <v>500</v>
      </c>
      <c r="AO138" s="38" t="s">
        <v>501</v>
      </c>
      <c r="AP138" s="35" t="s">
        <v>396</v>
      </c>
    </row>
    <row r="139" spans="1:42" x14ac:dyDescent="0.2">
      <c r="A139" s="40">
        <v>20</v>
      </c>
      <c r="B139" s="40">
        <v>138</v>
      </c>
      <c r="C139" s="51" t="s">
        <v>119</v>
      </c>
      <c r="D139" s="38" t="s">
        <v>128</v>
      </c>
      <c r="E139" s="32" t="s">
        <v>2183</v>
      </c>
      <c r="F139" s="32" t="s">
        <v>126</v>
      </c>
      <c r="G139" s="38" t="s">
        <v>60</v>
      </c>
      <c r="H139" s="32" t="s">
        <v>115</v>
      </c>
      <c r="I139" s="32" t="s">
        <v>243</v>
      </c>
      <c r="J139" s="32" t="s">
        <v>261</v>
      </c>
      <c r="K139" s="32" t="s">
        <v>129</v>
      </c>
      <c r="L139" s="32">
        <v>0.33</v>
      </c>
      <c r="M139" s="32">
        <v>34.67</v>
      </c>
      <c r="N139" s="40">
        <v>2005</v>
      </c>
      <c r="O139" s="32">
        <f>VLOOKUP(Data!N1325, CPI!$A$2:$B$112, 2, 0)</f>
        <v>214.53700000000001</v>
      </c>
      <c r="P139" s="32" t="s">
        <v>238</v>
      </c>
      <c r="Q139" s="32" t="s">
        <v>239</v>
      </c>
      <c r="R139" s="32" t="s">
        <v>469</v>
      </c>
      <c r="S139" s="32">
        <v>16.07</v>
      </c>
      <c r="T139" s="32" t="s">
        <v>497</v>
      </c>
      <c r="Z139" s="38" t="s">
        <v>347</v>
      </c>
      <c r="AA139" s="55" t="s">
        <v>1448</v>
      </c>
      <c r="AB139" s="32">
        <v>24000</v>
      </c>
      <c r="AC139" s="32" t="s">
        <v>2274</v>
      </c>
      <c r="AH139" s="32" t="s">
        <v>397</v>
      </c>
      <c r="AI139" s="32" t="s">
        <v>2268</v>
      </c>
      <c r="AK139" s="40" t="s">
        <v>498</v>
      </c>
      <c r="AL139" s="32">
        <v>2009</v>
      </c>
      <c r="AM139" s="32" t="s">
        <v>499</v>
      </c>
      <c r="AN139" s="32" t="s">
        <v>500</v>
      </c>
      <c r="AO139" s="38" t="s">
        <v>501</v>
      </c>
      <c r="AP139" s="35" t="s">
        <v>396</v>
      </c>
    </row>
    <row r="140" spans="1:42" x14ac:dyDescent="0.2">
      <c r="A140" s="40">
        <v>20</v>
      </c>
      <c r="B140" s="40">
        <v>139</v>
      </c>
      <c r="C140" s="51" t="s">
        <v>119</v>
      </c>
      <c r="D140" s="38" t="s">
        <v>128</v>
      </c>
      <c r="E140" s="32" t="s">
        <v>2183</v>
      </c>
      <c r="F140" s="32" t="s">
        <v>126</v>
      </c>
      <c r="G140" s="38" t="s">
        <v>127</v>
      </c>
      <c r="H140" s="32" t="s">
        <v>115</v>
      </c>
      <c r="I140" s="32" t="s">
        <v>243</v>
      </c>
      <c r="J140" s="32" t="s">
        <v>261</v>
      </c>
      <c r="K140" s="32" t="s">
        <v>129</v>
      </c>
      <c r="L140" s="32">
        <v>0.33</v>
      </c>
      <c r="M140" s="32">
        <v>34.67</v>
      </c>
      <c r="N140" s="40">
        <v>2005</v>
      </c>
      <c r="O140" s="32">
        <f>VLOOKUP(Data!N1326, CPI!$A$2:$B$112, 2, 0)</f>
        <v>214.53700000000001</v>
      </c>
      <c r="P140" s="32" t="s">
        <v>238</v>
      </c>
      <c r="Q140" s="32" t="s">
        <v>239</v>
      </c>
      <c r="R140" s="32" t="s">
        <v>470</v>
      </c>
      <c r="S140" s="32">
        <v>0.1</v>
      </c>
      <c r="T140" s="32" t="s">
        <v>430</v>
      </c>
      <c r="Z140" s="38" t="s">
        <v>347</v>
      </c>
      <c r="AA140" s="55" t="s">
        <v>1448</v>
      </c>
      <c r="AB140" s="32">
        <v>24000</v>
      </c>
      <c r="AC140" s="32" t="s">
        <v>2274</v>
      </c>
      <c r="AH140" s="32" t="s">
        <v>397</v>
      </c>
      <c r="AI140" s="32" t="s">
        <v>2268</v>
      </c>
      <c r="AK140" s="40" t="s">
        <v>498</v>
      </c>
      <c r="AL140" s="32">
        <v>2009</v>
      </c>
      <c r="AM140" s="32" t="s">
        <v>499</v>
      </c>
      <c r="AN140" s="32" t="s">
        <v>500</v>
      </c>
      <c r="AO140" s="38" t="s">
        <v>501</v>
      </c>
      <c r="AP140" s="35" t="s">
        <v>396</v>
      </c>
    </row>
    <row r="141" spans="1:42" x14ac:dyDescent="0.2">
      <c r="A141" s="40">
        <v>20</v>
      </c>
      <c r="B141" s="40">
        <v>140</v>
      </c>
      <c r="C141" s="51" t="s">
        <v>119</v>
      </c>
      <c r="D141" s="38" t="s">
        <v>128</v>
      </c>
      <c r="E141" s="32" t="s">
        <v>2183</v>
      </c>
      <c r="F141" s="32" t="s">
        <v>126</v>
      </c>
      <c r="G141" s="38" t="s">
        <v>153</v>
      </c>
      <c r="H141" s="32" t="s">
        <v>115</v>
      </c>
      <c r="I141" s="32" t="s">
        <v>243</v>
      </c>
      <c r="J141" s="32" t="s">
        <v>261</v>
      </c>
      <c r="K141" s="32" t="s">
        <v>129</v>
      </c>
      <c r="L141" s="32">
        <v>0.33</v>
      </c>
      <c r="M141" s="32">
        <v>34.67</v>
      </c>
      <c r="N141" s="40">
        <v>2005</v>
      </c>
      <c r="O141" s="32">
        <f>VLOOKUP(Data!N1327, CPI!$A$2:$B$112, 2, 0)</f>
        <v>214.53700000000001</v>
      </c>
      <c r="P141" s="32" t="s">
        <v>238</v>
      </c>
      <c r="Q141" s="32" t="s">
        <v>239</v>
      </c>
      <c r="R141" s="32" t="s">
        <v>471</v>
      </c>
      <c r="S141" s="32">
        <v>0.03</v>
      </c>
      <c r="T141" s="32" t="s">
        <v>430</v>
      </c>
      <c r="Z141" s="38" t="s">
        <v>347</v>
      </c>
      <c r="AA141" s="55" t="s">
        <v>1448</v>
      </c>
      <c r="AB141" s="32">
        <v>24000</v>
      </c>
      <c r="AC141" s="32" t="s">
        <v>2274</v>
      </c>
      <c r="AH141" s="32" t="s">
        <v>397</v>
      </c>
      <c r="AI141" s="32" t="s">
        <v>2268</v>
      </c>
      <c r="AK141" s="40" t="s">
        <v>498</v>
      </c>
      <c r="AL141" s="32">
        <v>2009</v>
      </c>
      <c r="AM141" s="32" t="s">
        <v>499</v>
      </c>
      <c r="AN141" s="32" t="s">
        <v>500</v>
      </c>
      <c r="AO141" s="38" t="s">
        <v>501</v>
      </c>
      <c r="AP141" s="35" t="s">
        <v>396</v>
      </c>
    </row>
    <row r="142" spans="1:42" x14ac:dyDescent="0.2">
      <c r="A142" s="40">
        <v>20</v>
      </c>
      <c r="B142" s="40">
        <v>141</v>
      </c>
      <c r="C142" s="51" t="s">
        <v>119</v>
      </c>
      <c r="D142" s="38" t="s">
        <v>128</v>
      </c>
      <c r="E142" s="32" t="s">
        <v>2186</v>
      </c>
      <c r="F142" s="32" t="s">
        <v>29</v>
      </c>
      <c r="G142" s="38" t="s">
        <v>29</v>
      </c>
      <c r="H142" s="32" t="s">
        <v>115</v>
      </c>
      <c r="I142" s="32" t="s">
        <v>243</v>
      </c>
      <c r="J142" s="32" t="s">
        <v>261</v>
      </c>
      <c r="K142" s="32" t="s">
        <v>129</v>
      </c>
      <c r="L142" s="32">
        <v>0.33</v>
      </c>
      <c r="M142" s="32">
        <v>34.67</v>
      </c>
      <c r="N142" s="40">
        <v>2005</v>
      </c>
      <c r="O142" s="32">
        <f>VLOOKUP(Data!N1328, CPI!$A$2:$B$112, 2, 0)</f>
        <v>215.303</v>
      </c>
      <c r="P142" s="32" t="s">
        <v>238</v>
      </c>
      <c r="Q142" s="32" t="s">
        <v>239</v>
      </c>
      <c r="R142" s="32" t="s">
        <v>472</v>
      </c>
      <c r="S142" s="32">
        <v>111.15</v>
      </c>
      <c r="T142" s="32" t="s">
        <v>346</v>
      </c>
      <c r="Z142" s="38" t="s">
        <v>347</v>
      </c>
      <c r="AA142" s="55" t="s">
        <v>1448</v>
      </c>
      <c r="AB142" s="32">
        <v>24000</v>
      </c>
      <c r="AC142" s="32" t="s">
        <v>2274</v>
      </c>
      <c r="AH142" s="32" t="s">
        <v>397</v>
      </c>
      <c r="AI142" s="32" t="s">
        <v>2268</v>
      </c>
      <c r="AK142" s="40" t="s">
        <v>498</v>
      </c>
      <c r="AL142" s="32">
        <v>2009</v>
      </c>
      <c r="AM142" s="32" t="s">
        <v>499</v>
      </c>
      <c r="AN142" s="32" t="s">
        <v>500</v>
      </c>
      <c r="AO142" s="38" t="s">
        <v>501</v>
      </c>
      <c r="AP142" s="35" t="s">
        <v>396</v>
      </c>
    </row>
    <row r="143" spans="1:42" x14ac:dyDescent="0.2">
      <c r="A143" s="40">
        <v>20</v>
      </c>
      <c r="B143" s="40">
        <v>142</v>
      </c>
      <c r="C143" s="51" t="s">
        <v>119</v>
      </c>
      <c r="D143" s="38" t="s">
        <v>128</v>
      </c>
      <c r="E143" s="32" t="s">
        <v>2183</v>
      </c>
      <c r="F143" s="32" t="s">
        <v>126</v>
      </c>
      <c r="G143" s="38" t="s">
        <v>60</v>
      </c>
      <c r="H143" s="32" t="s">
        <v>115</v>
      </c>
      <c r="I143" s="32" t="s">
        <v>243</v>
      </c>
      <c r="J143" s="32" t="s">
        <v>261</v>
      </c>
      <c r="K143" s="32" t="s">
        <v>129</v>
      </c>
      <c r="L143" s="32">
        <v>0.33</v>
      </c>
      <c r="M143" s="32">
        <v>34.67</v>
      </c>
      <c r="N143" s="40">
        <v>2005</v>
      </c>
      <c r="O143" s="32">
        <f>VLOOKUP(Data!N1329, CPI!$A$2:$B$112, 2, 0)</f>
        <v>215.303</v>
      </c>
      <c r="P143" s="32" t="s">
        <v>238</v>
      </c>
      <c r="Q143" s="32" t="s">
        <v>239</v>
      </c>
      <c r="R143" s="32" t="s">
        <v>473</v>
      </c>
      <c r="S143" s="32">
        <v>14.32</v>
      </c>
      <c r="T143" s="32" t="s">
        <v>497</v>
      </c>
      <c r="Z143" s="38" t="s">
        <v>347</v>
      </c>
      <c r="AA143" s="55" t="s">
        <v>1448</v>
      </c>
      <c r="AB143" s="32">
        <v>24000</v>
      </c>
      <c r="AC143" s="32" t="s">
        <v>2274</v>
      </c>
      <c r="AH143" s="32" t="s">
        <v>397</v>
      </c>
      <c r="AI143" s="32" t="s">
        <v>2268</v>
      </c>
      <c r="AK143" s="40" t="s">
        <v>498</v>
      </c>
      <c r="AL143" s="32">
        <v>2009</v>
      </c>
      <c r="AM143" s="32" t="s">
        <v>499</v>
      </c>
      <c r="AN143" s="32" t="s">
        <v>500</v>
      </c>
      <c r="AO143" s="38" t="s">
        <v>501</v>
      </c>
      <c r="AP143" s="35" t="s">
        <v>396</v>
      </c>
    </row>
    <row r="144" spans="1:42" x14ac:dyDescent="0.2">
      <c r="A144" s="40">
        <v>20</v>
      </c>
      <c r="B144" s="40">
        <v>143</v>
      </c>
      <c r="C144" s="51" t="s">
        <v>119</v>
      </c>
      <c r="D144" s="38" t="s">
        <v>128</v>
      </c>
      <c r="E144" s="32" t="s">
        <v>2183</v>
      </c>
      <c r="F144" s="32" t="s">
        <v>126</v>
      </c>
      <c r="G144" s="38" t="s">
        <v>127</v>
      </c>
      <c r="H144" s="32" t="s">
        <v>115</v>
      </c>
      <c r="I144" s="32" t="s">
        <v>243</v>
      </c>
      <c r="J144" s="32" t="s">
        <v>261</v>
      </c>
      <c r="K144" s="32" t="s">
        <v>129</v>
      </c>
      <c r="L144" s="32">
        <v>0.33</v>
      </c>
      <c r="M144" s="32">
        <v>34.67</v>
      </c>
      <c r="N144" s="40">
        <v>2005</v>
      </c>
      <c r="O144" s="32">
        <f>VLOOKUP(Data!N1330, CPI!$A$2:$B$112, 2, 0)</f>
        <v>201.6</v>
      </c>
      <c r="P144" s="32" t="s">
        <v>238</v>
      </c>
      <c r="Q144" s="32" t="s">
        <v>239</v>
      </c>
      <c r="R144" s="32" t="s">
        <v>474</v>
      </c>
      <c r="S144" s="32">
        <v>0.11</v>
      </c>
      <c r="T144" s="32" t="s">
        <v>430</v>
      </c>
      <c r="Z144" s="38" t="s">
        <v>347</v>
      </c>
      <c r="AA144" s="55" t="s">
        <v>1448</v>
      </c>
      <c r="AB144" s="32">
        <v>24000</v>
      </c>
      <c r="AC144" s="32" t="s">
        <v>2274</v>
      </c>
      <c r="AH144" s="32" t="s">
        <v>397</v>
      </c>
      <c r="AI144" s="32" t="s">
        <v>2268</v>
      </c>
      <c r="AK144" s="40" t="s">
        <v>498</v>
      </c>
      <c r="AL144" s="32">
        <v>2009</v>
      </c>
      <c r="AM144" s="32" t="s">
        <v>499</v>
      </c>
      <c r="AN144" s="32" t="s">
        <v>500</v>
      </c>
      <c r="AO144" s="38" t="s">
        <v>501</v>
      </c>
      <c r="AP144" s="35" t="s">
        <v>396</v>
      </c>
    </row>
    <row r="145" spans="1:42" x14ac:dyDescent="0.2">
      <c r="A145" s="40">
        <v>20</v>
      </c>
      <c r="B145" s="40">
        <v>144</v>
      </c>
      <c r="C145" s="51" t="s">
        <v>119</v>
      </c>
      <c r="D145" s="38" t="s">
        <v>128</v>
      </c>
      <c r="E145" s="32" t="s">
        <v>2183</v>
      </c>
      <c r="F145" s="32" t="s">
        <v>126</v>
      </c>
      <c r="G145" s="38" t="s">
        <v>153</v>
      </c>
      <c r="H145" s="32" t="s">
        <v>115</v>
      </c>
      <c r="I145" s="32" t="s">
        <v>243</v>
      </c>
      <c r="J145" s="32" t="s">
        <v>261</v>
      </c>
      <c r="K145" s="32" t="s">
        <v>129</v>
      </c>
      <c r="L145" s="32">
        <v>0.33</v>
      </c>
      <c r="M145" s="32">
        <v>34.67</v>
      </c>
      <c r="N145" s="40">
        <v>2005</v>
      </c>
      <c r="O145" s="32">
        <f>VLOOKUP(Data!N1331, CPI!$A$2:$B$112, 2, 0)</f>
        <v>207.3</v>
      </c>
      <c r="P145" s="32" t="s">
        <v>238</v>
      </c>
      <c r="Q145" s="32" t="s">
        <v>239</v>
      </c>
      <c r="R145" s="32" t="s">
        <v>475</v>
      </c>
      <c r="S145" s="32">
        <v>0.03</v>
      </c>
      <c r="T145" s="32" t="s">
        <v>430</v>
      </c>
      <c r="Z145" s="38" t="s">
        <v>347</v>
      </c>
      <c r="AA145" s="55" t="s">
        <v>1448</v>
      </c>
      <c r="AB145" s="32">
        <v>24000</v>
      </c>
      <c r="AC145" s="32" t="s">
        <v>2274</v>
      </c>
      <c r="AH145" s="32" t="s">
        <v>397</v>
      </c>
      <c r="AI145" s="32" t="s">
        <v>2268</v>
      </c>
      <c r="AK145" s="40" t="s">
        <v>498</v>
      </c>
      <c r="AL145" s="32">
        <v>2009</v>
      </c>
      <c r="AM145" s="32" t="s">
        <v>499</v>
      </c>
      <c r="AN145" s="32" t="s">
        <v>500</v>
      </c>
      <c r="AO145" s="38" t="s">
        <v>501</v>
      </c>
      <c r="AP145" s="35" t="s">
        <v>396</v>
      </c>
    </row>
    <row r="146" spans="1:42" x14ac:dyDescent="0.2">
      <c r="A146" s="40">
        <v>20</v>
      </c>
      <c r="B146" s="40">
        <v>145</v>
      </c>
      <c r="C146" s="51" t="s">
        <v>119</v>
      </c>
      <c r="D146" s="38" t="s">
        <v>128</v>
      </c>
      <c r="E146" s="32" t="s">
        <v>2186</v>
      </c>
      <c r="F146" s="32" t="s">
        <v>29</v>
      </c>
      <c r="G146" s="38" t="s">
        <v>29</v>
      </c>
      <c r="H146" s="32" t="s">
        <v>115</v>
      </c>
      <c r="I146" s="32" t="s">
        <v>243</v>
      </c>
      <c r="J146" s="32" t="s">
        <v>261</v>
      </c>
      <c r="K146" s="32" t="s">
        <v>129</v>
      </c>
      <c r="L146" s="32">
        <v>0.33</v>
      </c>
      <c r="M146" s="32">
        <v>34.67</v>
      </c>
      <c r="N146" s="40">
        <v>2005</v>
      </c>
      <c r="O146" s="32">
        <f>VLOOKUP(Data!N1332, CPI!$A$2:$B$112, 2, 0)</f>
        <v>201.6</v>
      </c>
      <c r="P146" s="32" t="s">
        <v>238</v>
      </c>
      <c r="Q146" s="32" t="s">
        <v>239</v>
      </c>
      <c r="R146" s="32" t="s">
        <v>476</v>
      </c>
      <c r="S146" s="32">
        <v>59.89</v>
      </c>
      <c r="T146" s="32" t="s">
        <v>346</v>
      </c>
      <c r="Z146" s="38" t="s">
        <v>347</v>
      </c>
      <c r="AA146" s="55" t="s">
        <v>1448</v>
      </c>
      <c r="AB146" s="32">
        <v>24000</v>
      </c>
      <c r="AC146" s="32" t="s">
        <v>2274</v>
      </c>
      <c r="AH146" s="32" t="s">
        <v>397</v>
      </c>
      <c r="AI146" s="32" t="s">
        <v>2268</v>
      </c>
      <c r="AK146" s="40" t="s">
        <v>498</v>
      </c>
      <c r="AL146" s="32">
        <v>2009</v>
      </c>
      <c r="AM146" s="32" t="s">
        <v>499</v>
      </c>
      <c r="AN146" s="32" t="s">
        <v>500</v>
      </c>
      <c r="AO146" s="38" t="s">
        <v>501</v>
      </c>
      <c r="AP146" s="35" t="s">
        <v>396</v>
      </c>
    </row>
    <row r="147" spans="1:42" x14ac:dyDescent="0.2">
      <c r="A147" s="40">
        <v>20</v>
      </c>
      <c r="B147" s="40">
        <v>146</v>
      </c>
      <c r="C147" s="51" t="s">
        <v>119</v>
      </c>
      <c r="D147" s="38" t="s">
        <v>128</v>
      </c>
      <c r="E147" s="32" t="s">
        <v>2183</v>
      </c>
      <c r="F147" s="32" t="s">
        <v>126</v>
      </c>
      <c r="G147" s="38" t="s">
        <v>60</v>
      </c>
      <c r="H147" s="32" t="s">
        <v>115</v>
      </c>
      <c r="I147" s="32" t="s">
        <v>243</v>
      </c>
      <c r="J147" s="32" t="s">
        <v>261</v>
      </c>
      <c r="K147" s="32" t="s">
        <v>129</v>
      </c>
      <c r="L147" s="32">
        <v>0.33</v>
      </c>
      <c r="M147" s="32">
        <v>34.67</v>
      </c>
      <c r="N147" s="40">
        <v>2005</v>
      </c>
      <c r="O147" s="32">
        <f>VLOOKUP(Data!N1333, CPI!$A$2:$B$112, 2, 0)</f>
        <v>201.6</v>
      </c>
      <c r="P147" s="32" t="s">
        <v>238</v>
      </c>
      <c r="Q147" s="32" t="s">
        <v>239</v>
      </c>
      <c r="R147" s="32" t="s">
        <v>477</v>
      </c>
      <c r="S147" s="32">
        <v>13.79</v>
      </c>
      <c r="T147" s="32" t="s">
        <v>497</v>
      </c>
      <c r="Z147" s="38" t="s">
        <v>347</v>
      </c>
      <c r="AA147" s="55" t="s">
        <v>1448</v>
      </c>
      <c r="AB147" s="32">
        <v>24000</v>
      </c>
      <c r="AC147" s="32" t="s">
        <v>2274</v>
      </c>
      <c r="AH147" s="32" t="s">
        <v>397</v>
      </c>
      <c r="AI147" s="32" t="s">
        <v>2268</v>
      </c>
      <c r="AK147" s="40" t="s">
        <v>498</v>
      </c>
      <c r="AL147" s="32">
        <v>2009</v>
      </c>
      <c r="AM147" s="32" t="s">
        <v>499</v>
      </c>
      <c r="AN147" s="32" t="s">
        <v>500</v>
      </c>
      <c r="AO147" s="38" t="s">
        <v>501</v>
      </c>
      <c r="AP147" s="35" t="s">
        <v>396</v>
      </c>
    </row>
    <row r="148" spans="1:42" x14ac:dyDescent="0.2">
      <c r="A148" s="40">
        <v>20</v>
      </c>
      <c r="B148" s="40">
        <v>147</v>
      </c>
      <c r="C148" s="51" t="s">
        <v>119</v>
      </c>
      <c r="D148" s="38" t="s">
        <v>128</v>
      </c>
      <c r="E148" s="32" t="s">
        <v>2183</v>
      </c>
      <c r="F148" s="32" t="s">
        <v>126</v>
      </c>
      <c r="G148" s="38" t="s">
        <v>127</v>
      </c>
      <c r="H148" s="32" t="s">
        <v>115</v>
      </c>
      <c r="I148" s="32" t="s">
        <v>243</v>
      </c>
      <c r="J148" s="32" t="s">
        <v>261</v>
      </c>
      <c r="K148" s="32" t="s">
        <v>129</v>
      </c>
      <c r="L148" s="32">
        <v>0.33</v>
      </c>
      <c r="M148" s="32">
        <v>34.67</v>
      </c>
      <c r="N148" s="40">
        <v>2005</v>
      </c>
      <c r="O148" s="32">
        <f>VLOOKUP(Data!N1334, CPI!$A$2:$B$112, 2, 0)</f>
        <v>201.6</v>
      </c>
      <c r="P148" s="32" t="s">
        <v>238</v>
      </c>
      <c r="Q148" s="32" t="s">
        <v>239</v>
      </c>
      <c r="R148" s="32" t="s">
        <v>478</v>
      </c>
      <c r="S148" s="32">
        <v>0.11</v>
      </c>
      <c r="T148" s="32" t="s">
        <v>430</v>
      </c>
      <c r="Z148" s="38" t="s">
        <v>347</v>
      </c>
      <c r="AA148" s="55" t="s">
        <v>1448</v>
      </c>
      <c r="AB148" s="32">
        <v>24000</v>
      </c>
      <c r="AC148" s="32" t="s">
        <v>2274</v>
      </c>
      <c r="AH148" s="32" t="s">
        <v>397</v>
      </c>
      <c r="AI148" s="32" t="s">
        <v>2268</v>
      </c>
      <c r="AK148" s="40" t="s">
        <v>498</v>
      </c>
      <c r="AL148" s="32">
        <v>2009</v>
      </c>
      <c r="AM148" s="32" t="s">
        <v>499</v>
      </c>
      <c r="AN148" s="32" t="s">
        <v>500</v>
      </c>
      <c r="AO148" s="38" t="s">
        <v>501</v>
      </c>
      <c r="AP148" s="35" t="s">
        <v>396</v>
      </c>
    </row>
    <row r="149" spans="1:42" x14ac:dyDescent="0.2">
      <c r="A149" s="40">
        <v>20</v>
      </c>
      <c r="B149" s="40">
        <v>148</v>
      </c>
      <c r="C149" s="51" t="s">
        <v>119</v>
      </c>
      <c r="D149" s="38" t="s">
        <v>128</v>
      </c>
      <c r="E149" s="32" t="s">
        <v>2183</v>
      </c>
      <c r="F149" s="32" t="s">
        <v>126</v>
      </c>
      <c r="G149" s="38" t="s">
        <v>153</v>
      </c>
      <c r="H149" s="32" t="s">
        <v>115</v>
      </c>
      <c r="I149" s="32" t="s">
        <v>243</v>
      </c>
      <c r="J149" s="32" t="s">
        <v>261</v>
      </c>
      <c r="K149" s="32" t="s">
        <v>129</v>
      </c>
      <c r="L149" s="32">
        <v>0.33</v>
      </c>
      <c r="M149" s="32">
        <v>34.67</v>
      </c>
      <c r="N149" s="40">
        <v>2005</v>
      </c>
      <c r="O149" s="32">
        <f>VLOOKUP(Data!N1335, CPI!$A$2:$B$112, 2, 0)</f>
        <v>201.6</v>
      </c>
      <c r="P149" s="32" t="s">
        <v>238</v>
      </c>
      <c r="Q149" s="32" t="s">
        <v>239</v>
      </c>
      <c r="R149" s="32" t="s">
        <v>479</v>
      </c>
      <c r="S149" s="32">
        <v>0.03</v>
      </c>
      <c r="T149" s="32" t="s">
        <v>430</v>
      </c>
      <c r="Z149" s="38" t="s">
        <v>347</v>
      </c>
      <c r="AA149" s="55" t="s">
        <v>1448</v>
      </c>
      <c r="AB149" s="32">
        <v>24000</v>
      </c>
      <c r="AC149" s="32" t="s">
        <v>2274</v>
      </c>
      <c r="AH149" s="32" t="s">
        <v>397</v>
      </c>
      <c r="AI149" s="32" t="s">
        <v>2268</v>
      </c>
      <c r="AK149" s="40" t="s">
        <v>498</v>
      </c>
      <c r="AL149" s="32">
        <v>2009</v>
      </c>
      <c r="AM149" s="32" t="s">
        <v>499</v>
      </c>
      <c r="AN149" s="32" t="s">
        <v>500</v>
      </c>
      <c r="AO149" s="38" t="s">
        <v>501</v>
      </c>
      <c r="AP149" s="35" t="s">
        <v>396</v>
      </c>
    </row>
    <row r="150" spans="1:42" x14ac:dyDescent="0.2">
      <c r="A150" s="40">
        <v>20</v>
      </c>
      <c r="B150" s="40">
        <v>149</v>
      </c>
      <c r="C150" s="51" t="s">
        <v>119</v>
      </c>
      <c r="D150" s="38" t="s">
        <v>128</v>
      </c>
      <c r="E150" s="32" t="s">
        <v>2186</v>
      </c>
      <c r="F150" s="32" t="s">
        <v>29</v>
      </c>
      <c r="G150" s="38" t="s">
        <v>29</v>
      </c>
      <c r="H150" s="32" t="s">
        <v>115</v>
      </c>
      <c r="I150" s="32" t="s">
        <v>243</v>
      </c>
      <c r="J150" s="32" t="s">
        <v>261</v>
      </c>
      <c r="K150" s="32" t="s">
        <v>129</v>
      </c>
      <c r="L150" s="32">
        <v>0.33</v>
      </c>
      <c r="M150" s="32">
        <v>34.67</v>
      </c>
      <c r="N150" s="40">
        <v>2005</v>
      </c>
      <c r="O150" s="32">
        <f>VLOOKUP(Data!N1336, CPI!$A$2:$B$112, 2, 0)</f>
        <v>201.6</v>
      </c>
      <c r="P150" s="32" t="s">
        <v>238</v>
      </c>
      <c r="Q150" s="32" t="s">
        <v>239</v>
      </c>
      <c r="R150" s="32" t="s">
        <v>480</v>
      </c>
      <c r="S150" s="32">
        <v>69.819999999999993</v>
      </c>
      <c r="T150" s="32" t="s">
        <v>346</v>
      </c>
      <c r="Z150" s="38" t="s">
        <v>347</v>
      </c>
      <c r="AA150" s="55" t="s">
        <v>1448</v>
      </c>
      <c r="AB150" s="32">
        <v>24000</v>
      </c>
      <c r="AC150" s="32" t="s">
        <v>2274</v>
      </c>
      <c r="AH150" s="32" t="s">
        <v>397</v>
      </c>
      <c r="AI150" s="32" t="s">
        <v>2268</v>
      </c>
      <c r="AK150" s="40" t="s">
        <v>498</v>
      </c>
      <c r="AL150" s="32">
        <v>2009</v>
      </c>
      <c r="AM150" s="32" t="s">
        <v>499</v>
      </c>
      <c r="AN150" s="32" t="s">
        <v>500</v>
      </c>
      <c r="AO150" s="38" t="s">
        <v>501</v>
      </c>
      <c r="AP150" s="35" t="s">
        <v>396</v>
      </c>
    </row>
    <row r="151" spans="1:42" x14ac:dyDescent="0.2">
      <c r="A151" s="40">
        <v>20</v>
      </c>
      <c r="B151" s="40">
        <v>150</v>
      </c>
      <c r="C151" s="51" t="s">
        <v>119</v>
      </c>
      <c r="D151" s="38" t="s">
        <v>128</v>
      </c>
      <c r="E151" s="32" t="s">
        <v>2183</v>
      </c>
      <c r="F151" s="32" t="s">
        <v>126</v>
      </c>
      <c r="G151" s="38" t="s">
        <v>60</v>
      </c>
      <c r="H151" s="32" t="s">
        <v>115</v>
      </c>
      <c r="I151" s="32" t="s">
        <v>243</v>
      </c>
      <c r="J151" s="32" t="s">
        <v>261</v>
      </c>
      <c r="K151" s="32" t="s">
        <v>129</v>
      </c>
      <c r="L151" s="32">
        <v>0.33</v>
      </c>
      <c r="M151" s="32">
        <v>34.67</v>
      </c>
      <c r="N151" s="40">
        <v>2005</v>
      </c>
      <c r="O151" s="32">
        <f>VLOOKUP(Data!N1337, CPI!$A$2:$B$112, 2, 0)</f>
        <v>201.6</v>
      </c>
      <c r="P151" s="32" t="s">
        <v>238</v>
      </c>
      <c r="Q151" s="32" t="s">
        <v>239</v>
      </c>
      <c r="R151" s="32" t="s">
        <v>481</v>
      </c>
      <c r="S151" s="32">
        <v>12.85</v>
      </c>
      <c r="T151" s="32" t="s">
        <v>497</v>
      </c>
      <c r="Z151" s="38" t="s">
        <v>347</v>
      </c>
      <c r="AA151" s="55" t="s">
        <v>1448</v>
      </c>
      <c r="AB151" s="32">
        <v>24000</v>
      </c>
      <c r="AC151" s="32" t="s">
        <v>2274</v>
      </c>
      <c r="AH151" s="32" t="s">
        <v>397</v>
      </c>
      <c r="AI151" s="32" t="s">
        <v>2268</v>
      </c>
      <c r="AK151" s="40" t="s">
        <v>498</v>
      </c>
      <c r="AL151" s="32">
        <v>2009</v>
      </c>
      <c r="AM151" s="32" t="s">
        <v>499</v>
      </c>
      <c r="AN151" s="32" t="s">
        <v>500</v>
      </c>
      <c r="AO151" s="38" t="s">
        <v>501</v>
      </c>
      <c r="AP151" s="35" t="s">
        <v>396</v>
      </c>
    </row>
    <row r="152" spans="1:42" x14ac:dyDescent="0.2">
      <c r="A152" s="40">
        <v>20</v>
      </c>
      <c r="B152" s="40">
        <v>151</v>
      </c>
      <c r="C152" s="51" t="s">
        <v>119</v>
      </c>
      <c r="D152" s="38" t="s">
        <v>128</v>
      </c>
      <c r="E152" s="32" t="s">
        <v>2183</v>
      </c>
      <c r="F152" s="32" t="s">
        <v>126</v>
      </c>
      <c r="G152" s="38" t="s">
        <v>127</v>
      </c>
      <c r="H152" s="32" t="s">
        <v>115</v>
      </c>
      <c r="I152" s="32" t="s">
        <v>243</v>
      </c>
      <c r="J152" s="32" t="s">
        <v>261</v>
      </c>
      <c r="K152" s="32" t="s">
        <v>129</v>
      </c>
      <c r="L152" s="32">
        <v>0.33</v>
      </c>
      <c r="M152" s="32">
        <v>34.67</v>
      </c>
      <c r="N152" s="40">
        <v>2005</v>
      </c>
      <c r="O152" s="32">
        <f>VLOOKUP(Data!N1338, CPI!$A$2:$B$112, 2, 0)</f>
        <v>201.6</v>
      </c>
      <c r="P152" s="32" t="s">
        <v>238</v>
      </c>
      <c r="Q152" s="32" t="s">
        <v>239</v>
      </c>
      <c r="R152" s="32" t="s">
        <v>482</v>
      </c>
      <c r="S152" s="32">
        <v>0.11</v>
      </c>
      <c r="T152" s="32" t="s">
        <v>430</v>
      </c>
      <c r="Z152" s="38" t="s">
        <v>347</v>
      </c>
      <c r="AA152" s="55" t="s">
        <v>1448</v>
      </c>
      <c r="AB152" s="32">
        <v>24000</v>
      </c>
      <c r="AC152" s="32" t="s">
        <v>2274</v>
      </c>
      <c r="AH152" s="32" t="s">
        <v>397</v>
      </c>
      <c r="AI152" s="32" t="s">
        <v>2268</v>
      </c>
      <c r="AK152" s="40" t="s">
        <v>498</v>
      </c>
      <c r="AL152" s="32">
        <v>2009</v>
      </c>
      <c r="AM152" s="32" t="s">
        <v>499</v>
      </c>
      <c r="AN152" s="32" t="s">
        <v>500</v>
      </c>
      <c r="AO152" s="38" t="s">
        <v>501</v>
      </c>
      <c r="AP152" s="35" t="s">
        <v>396</v>
      </c>
    </row>
    <row r="153" spans="1:42" x14ac:dyDescent="0.2">
      <c r="A153" s="40">
        <v>20</v>
      </c>
      <c r="B153" s="40">
        <v>152</v>
      </c>
      <c r="C153" s="51" t="s">
        <v>119</v>
      </c>
      <c r="D153" s="38" t="s">
        <v>128</v>
      </c>
      <c r="E153" s="32" t="s">
        <v>2183</v>
      </c>
      <c r="F153" s="32" t="s">
        <v>126</v>
      </c>
      <c r="G153" s="38" t="s">
        <v>153</v>
      </c>
      <c r="H153" s="32" t="s">
        <v>115</v>
      </c>
      <c r="I153" s="32" t="s">
        <v>243</v>
      </c>
      <c r="J153" s="32" t="s">
        <v>261</v>
      </c>
      <c r="K153" s="32" t="s">
        <v>129</v>
      </c>
      <c r="L153" s="32">
        <v>0.33</v>
      </c>
      <c r="M153" s="32">
        <v>34.67</v>
      </c>
      <c r="N153" s="40">
        <v>2005</v>
      </c>
      <c r="O153" s="32">
        <f>VLOOKUP(Data!N1339, CPI!$A$2:$B$112, 2, 0)</f>
        <v>201.6</v>
      </c>
      <c r="P153" s="32" t="s">
        <v>238</v>
      </c>
      <c r="Q153" s="32" t="s">
        <v>239</v>
      </c>
      <c r="R153" s="32" t="s">
        <v>483</v>
      </c>
      <c r="S153" s="32">
        <v>0.03</v>
      </c>
      <c r="T153" s="32" t="s">
        <v>430</v>
      </c>
      <c r="Z153" s="38" t="s">
        <v>347</v>
      </c>
      <c r="AA153" s="55" t="s">
        <v>1448</v>
      </c>
      <c r="AB153" s="32">
        <v>24000</v>
      </c>
      <c r="AC153" s="32" t="s">
        <v>2274</v>
      </c>
      <c r="AH153" s="32" t="s">
        <v>397</v>
      </c>
      <c r="AI153" s="32" t="s">
        <v>2268</v>
      </c>
      <c r="AK153" s="40" t="s">
        <v>498</v>
      </c>
      <c r="AL153" s="32">
        <v>2009</v>
      </c>
      <c r="AM153" s="32" t="s">
        <v>499</v>
      </c>
      <c r="AN153" s="32" t="s">
        <v>500</v>
      </c>
      <c r="AO153" s="38" t="s">
        <v>501</v>
      </c>
      <c r="AP153" s="35" t="s">
        <v>396</v>
      </c>
    </row>
    <row r="154" spans="1:42" x14ac:dyDescent="0.2">
      <c r="A154" s="40">
        <v>20</v>
      </c>
      <c r="B154" s="40">
        <v>153</v>
      </c>
      <c r="C154" s="51" t="s">
        <v>119</v>
      </c>
      <c r="D154" s="38" t="s">
        <v>128</v>
      </c>
      <c r="E154" s="32" t="s">
        <v>2186</v>
      </c>
      <c r="F154" s="32" t="s">
        <v>29</v>
      </c>
      <c r="G154" s="38" t="s">
        <v>29</v>
      </c>
      <c r="H154" s="32" t="s">
        <v>115</v>
      </c>
      <c r="I154" s="32" t="s">
        <v>243</v>
      </c>
      <c r="J154" s="32" t="s">
        <v>261</v>
      </c>
      <c r="K154" s="32" t="s">
        <v>129</v>
      </c>
      <c r="L154" s="32">
        <v>0.33</v>
      </c>
      <c r="M154" s="32">
        <v>34.67</v>
      </c>
      <c r="N154" s="40">
        <v>2005</v>
      </c>
      <c r="O154" s="32">
        <f>VLOOKUP(Data!N1340, CPI!$A$2:$B$112, 2, 0)</f>
        <v>201.6</v>
      </c>
      <c r="P154" s="32" t="s">
        <v>238</v>
      </c>
      <c r="Q154" s="32" t="s">
        <v>239</v>
      </c>
      <c r="R154" s="32" t="s">
        <v>484</v>
      </c>
      <c r="S154" s="32">
        <v>81.3</v>
      </c>
      <c r="T154" s="32" t="s">
        <v>346</v>
      </c>
      <c r="Z154" s="38" t="s">
        <v>347</v>
      </c>
      <c r="AA154" s="55" t="s">
        <v>1448</v>
      </c>
      <c r="AB154" s="32">
        <v>24000</v>
      </c>
      <c r="AC154" s="32" t="s">
        <v>2274</v>
      </c>
      <c r="AH154" s="32" t="s">
        <v>397</v>
      </c>
      <c r="AI154" s="32" t="s">
        <v>2268</v>
      </c>
      <c r="AK154" s="40" t="s">
        <v>498</v>
      </c>
      <c r="AL154" s="32">
        <v>2009</v>
      </c>
      <c r="AM154" s="32" t="s">
        <v>499</v>
      </c>
      <c r="AN154" s="32" t="s">
        <v>500</v>
      </c>
      <c r="AO154" s="38" t="s">
        <v>501</v>
      </c>
      <c r="AP154" s="35" t="s">
        <v>396</v>
      </c>
    </row>
    <row r="155" spans="1:42" x14ac:dyDescent="0.2">
      <c r="A155" s="40">
        <v>20</v>
      </c>
      <c r="B155" s="40">
        <v>154</v>
      </c>
      <c r="C155" s="51" t="s">
        <v>119</v>
      </c>
      <c r="D155" s="38" t="s">
        <v>128</v>
      </c>
      <c r="E155" s="32" t="s">
        <v>2183</v>
      </c>
      <c r="F155" s="32" t="s">
        <v>126</v>
      </c>
      <c r="G155" s="38" t="s">
        <v>60</v>
      </c>
      <c r="H155" s="32" t="s">
        <v>115</v>
      </c>
      <c r="I155" s="32" t="s">
        <v>243</v>
      </c>
      <c r="J155" s="32" t="s">
        <v>261</v>
      </c>
      <c r="K155" s="32" t="s">
        <v>129</v>
      </c>
      <c r="L155" s="32">
        <v>0.33</v>
      </c>
      <c r="M155" s="32">
        <v>34.67</v>
      </c>
      <c r="N155" s="40">
        <v>2005</v>
      </c>
      <c r="O155" s="32">
        <f>VLOOKUP(Data!N1341, CPI!$A$2:$B$112, 2, 0)</f>
        <v>201.6</v>
      </c>
      <c r="P155" s="32" t="s">
        <v>238</v>
      </c>
      <c r="Q155" s="32" t="s">
        <v>239</v>
      </c>
      <c r="R155" s="32" t="s">
        <v>485</v>
      </c>
      <c r="S155" s="32">
        <v>14.65</v>
      </c>
      <c r="T155" s="32" t="s">
        <v>497</v>
      </c>
      <c r="Z155" s="38" t="s">
        <v>347</v>
      </c>
      <c r="AA155" s="55" t="s">
        <v>1448</v>
      </c>
      <c r="AB155" s="32">
        <v>24000</v>
      </c>
      <c r="AC155" s="32" t="s">
        <v>2274</v>
      </c>
      <c r="AH155" s="32" t="s">
        <v>397</v>
      </c>
      <c r="AI155" s="32" t="s">
        <v>2268</v>
      </c>
      <c r="AK155" s="40" t="s">
        <v>498</v>
      </c>
      <c r="AL155" s="32">
        <v>2009</v>
      </c>
      <c r="AM155" s="32" t="s">
        <v>499</v>
      </c>
      <c r="AN155" s="32" t="s">
        <v>500</v>
      </c>
      <c r="AO155" s="38" t="s">
        <v>501</v>
      </c>
      <c r="AP155" s="35" t="s">
        <v>396</v>
      </c>
    </row>
    <row r="156" spans="1:42" x14ac:dyDescent="0.2">
      <c r="A156" s="40">
        <v>20</v>
      </c>
      <c r="B156" s="40">
        <v>155</v>
      </c>
      <c r="C156" s="51" t="s">
        <v>119</v>
      </c>
      <c r="D156" s="38" t="s">
        <v>128</v>
      </c>
      <c r="E156" s="32" t="s">
        <v>2183</v>
      </c>
      <c r="F156" s="32" t="s">
        <v>126</v>
      </c>
      <c r="G156" s="38" t="s">
        <v>127</v>
      </c>
      <c r="H156" s="32" t="s">
        <v>115</v>
      </c>
      <c r="I156" s="32" t="s">
        <v>243</v>
      </c>
      <c r="J156" s="32" t="s">
        <v>261</v>
      </c>
      <c r="K156" s="32" t="s">
        <v>129</v>
      </c>
      <c r="L156" s="32">
        <v>0.33</v>
      </c>
      <c r="M156" s="32">
        <v>34.67</v>
      </c>
      <c r="N156" s="40">
        <v>2005</v>
      </c>
      <c r="O156" s="32">
        <f>VLOOKUP(Data!N1342, CPI!$A$2:$B$112, 2, 0)</f>
        <v>201.6</v>
      </c>
      <c r="P156" s="32" t="s">
        <v>238</v>
      </c>
      <c r="Q156" s="32" t="s">
        <v>239</v>
      </c>
      <c r="R156" s="32" t="s">
        <v>486</v>
      </c>
      <c r="S156" s="32">
        <v>0.1</v>
      </c>
      <c r="T156" s="32" t="s">
        <v>430</v>
      </c>
      <c r="Z156" s="38" t="s">
        <v>347</v>
      </c>
      <c r="AA156" s="55" t="s">
        <v>1448</v>
      </c>
      <c r="AB156" s="32">
        <v>24000</v>
      </c>
      <c r="AC156" s="32" t="s">
        <v>2274</v>
      </c>
      <c r="AH156" s="32" t="s">
        <v>397</v>
      </c>
      <c r="AI156" s="32" t="s">
        <v>2268</v>
      </c>
      <c r="AK156" s="40" t="s">
        <v>498</v>
      </c>
      <c r="AL156" s="32">
        <v>2009</v>
      </c>
      <c r="AM156" s="32" t="s">
        <v>499</v>
      </c>
      <c r="AN156" s="32" t="s">
        <v>500</v>
      </c>
      <c r="AO156" s="38" t="s">
        <v>501</v>
      </c>
      <c r="AP156" s="35" t="s">
        <v>396</v>
      </c>
    </row>
    <row r="157" spans="1:42" x14ac:dyDescent="0.2">
      <c r="A157" s="40">
        <v>20</v>
      </c>
      <c r="B157" s="40">
        <v>156</v>
      </c>
      <c r="C157" s="51" t="s">
        <v>119</v>
      </c>
      <c r="D157" s="38" t="s">
        <v>128</v>
      </c>
      <c r="E157" s="32" t="s">
        <v>2183</v>
      </c>
      <c r="F157" s="32" t="s">
        <v>126</v>
      </c>
      <c r="G157" s="38" t="s">
        <v>153</v>
      </c>
      <c r="H157" s="32" t="s">
        <v>115</v>
      </c>
      <c r="I157" s="32" t="s">
        <v>243</v>
      </c>
      <c r="J157" s="32" t="s">
        <v>261</v>
      </c>
      <c r="K157" s="32" t="s">
        <v>129</v>
      </c>
      <c r="L157" s="32">
        <v>0.33</v>
      </c>
      <c r="M157" s="32">
        <v>34.67</v>
      </c>
      <c r="N157" s="40">
        <v>2005</v>
      </c>
      <c r="O157" s="32">
        <f>VLOOKUP(Data!N1343, CPI!$A$2:$B$112, 2, 0)</f>
        <v>201.6</v>
      </c>
      <c r="P157" s="32" t="s">
        <v>238</v>
      </c>
      <c r="Q157" s="32" t="s">
        <v>239</v>
      </c>
      <c r="R157" s="32" t="s">
        <v>487</v>
      </c>
      <c r="S157" s="32">
        <v>0.03</v>
      </c>
      <c r="T157" s="32" t="s">
        <v>430</v>
      </c>
      <c r="Z157" s="38" t="s">
        <v>347</v>
      </c>
      <c r="AA157" s="55" t="s">
        <v>1448</v>
      </c>
      <c r="AB157" s="32">
        <v>24000</v>
      </c>
      <c r="AC157" s="32" t="s">
        <v>2274</v>
      </c>
      <c r="AH157" s="32" t="s">
        <v>397</v>
      </c>
      <c r="AI157" s="32" t="s">
        <v>2268</v>
      </c>
      <c r="AK157" s="40" t="s">
        <v>498</v>
      </c>
      <c r="AL157" s="32">
        <v>2009</v>
      </c>
      <c r="AM157" s="32" t="s">
        <v>499</v>
      </c>
      <c r="AN157" s="32" t="s">
        <v>500</v>
      </c>
      <c r="AO157" s="38" t="s">
        <v>501</v>
      </c>
      <c r="AP157" s="35" t="s">
        <v>396</v>
      </c>
    </row>
    <row r="158" spans="1:42" x14ac:dyDescent="0.2">
      <c r="A158" s="40">
        <v>20</v>
      </c>
      <c r="B158" s="40">
        <v>157</v>
      </c>
      <c r="C158" s="51" t="s">
        <v>119</v>
      </c>
      <c r="D158" s="38" t="s">
        <v>128</v>
      </c>
      <c r="E158" s="32" t="s">
        <v>2186</v>
      </c>
      <c r="F158" s="32" t="s">
        <v>29</v>
      </c>
      <c r="G158" s="38" t="s">
        <v>29</v>
      </c>
      <c r="H158" s="32" t="s">
        <v>115</v>
      </c>
      <c r="I158" s="32" t="s">
        <v>243</v>
      </c>
      <c r="J158" s="32" t="s">
        <v>261</v>
      </c>
      <c r="K158" s="32" t="s">
        <v>129</v>
      </c>
      <c r="L158" s="32">
        <v>0.33</v>
      </c>
      <c r="M158" s="32">
        <v>34.67</v>
      </c>
      <c r="N158" s="40">
        <v>2005</v>
      </c>
      <c r="O158" s="32">
        <f>VLOOKUP(Data!N1344, CPI!$A$2:$B$112, 2, 0)</f>
        <v>201.6</v>
      </c>
      <c r="P158" s="32" t="s">
        <v>238</v>
      </c>
      <c r="Q158" s="32" t="s">
        <v>239</v>
      </c>
      <c r="R158" s="32" t="s">
        <v>488</v>
      </c>
      <c r="S158" s="32">
        <v>148.55000000000001</v>
      </c>
      <c r="T158" s="32" t="s">
        <v>346</v>
      </c>
      <c r="Z158" s="38" t="s">
        <v>347</v>
      </c>
      <c r="AA158" s="55" t="s">
        <v>1448</v>
      </c>
      <c r="AB158" s="32">
        <v>24000</v>
      </c>
      <c r="AC158" s="32" t="s">
        <v>2274</v>
      </c>
      <c r="AH158" s="32" t="s">
        <v>397</v>
      </c>
      <c r="AI158" s="32" t="s">
        <v>2268</v>
      </c>
      <c r="AK158" s="40" t="s">
        <v>498</v>
      </c>
      <c r="AL158" s="32">
        <v>2009</v>
      </c>
      <c r="AM158" s="32" t="s">
        <v>499</v>
      </c>
      <c r="AN158" s="32" t="s">
        <v>500</v>
      </c>
      <c r="AO158" s="38" t="s">
        <v>501</v>
      </c>
      <c r="AP158" s="35" t="s">
        <v>396</v>
      </c>
    </row>
    <row r="159" spans="1:42" x14ac:dyDescent="0.2">
      <c r="A159" s="40">
        <v>20</v>
      </c>
      <c r="B159" s="40">
        <v>158</v>
      </c>
      <c r="C159" s="51" t="s">
        <v>119</v>
      </c>
      <c r="D159" s="38" t="s">
        <v>128</v>
      </c>
      <c r="E159" s="32" t="s">
        <v>2183</v>
      </c>
      <c r="F159" s="32" t="s">
        <v>126</v>
      </c>
      <c r="G159" s="38" t="s">
        <v>60</v>
      </c>
      <c r="H159" s="32" t="s">
        <v>115</v>
      </c>
      <c r="I159" s="32" t="s">
        <v>243</v>
      </c>
      <c r="J159" s="32" t="s">
        <v>261</v>
      </c>
      <c r="K159" s="32" t="s">
        <v>129</v>
      </c>
      <c r="L159" s="32">
        <v>0.33</v>
      </c>
      <c r="M159" s="32">
        <v>34.67</v>
      </c>
      <c r="N159" s="40">
        <v>2005</v>
      </c>
      <c r="O159" s="32">
        <f>VLOOKUP(Data!N1345, CPI!$A$2:$B$112, 2, 0)</f>
        <v>201.6</v>
      </c>
      <c r="P159" s="32" t="s">
        <v>238</v>
      </c>
      <c r="Q159" s="32" t="s">
        <v>239</v>
      </c>
      <c r="R159" s="32" t="s">
        <v>489</v>
      </c>
      <c r="S159" s="32">
        <v>11.67</v>
      </c>
      <c r="T159" s="32" t="s">
        <v>497</v>
      </c>
      <c r="Z159" s="38" t="s">
        <v>347</v>
      </c>
      <c r="AA159" s="55" t="s">
        <v>1448</v>
      </c>
      <c r="AB159" s="32">
        <v>24000</v>
      </c>
      <c r="AC159" s="32" t="s">
        <v>2274</v>
      </c>
      <c r="AH159" s="32" t="s">
        <v>397</v>
      </c>
      <c r="AI159" s="32" t="s">
        <v>2268</v>
      </c>
      <c r="AK159" s="40" t="s">
        <v>498</v>
      </c>
      <c r="AL159" s="32">
        <v>2009</v>
      </c>
      <c r="AM159" s="32" t="s">
        <v>499</v>
      </c>
      <c r="AN159" s="32" t="s">
        <v>500</v>
      </c>
      <c r="AO159" s="38" t="s">
        <v>501</v>
      </c>
      <c r="AP159" s="35" t="s">
        <v>396</v>
      </c>
    </row>
    <row r="160" spans="1:42" x14ac:dyDescent="0.2">
      <c r="A160" s="40">
        <v>20</v>
      </c>
      <c r="B160" s="40">
        <v>159</v>
      </c>
      <c r="C160" s="51" t="s">
        <v>119</v>
      </c>
      <c r="D160" s="38" t="s">
        <v>128</v>
      </c>
      <c r="E160" s="32" t="s">
        <v>2183</v>
      </c>
      <c r="F160" s="32" t="s">
        <v>126</v>
      </c>
      <c r="G160" s="38" t="s">
        <v>127</v>
      </c>
      <c r="H160" s="32" t="s">
        <v>115</v>
      </c>
      <c r="I160" s="32" t="s">
        <v>243</v>
      </c>
      <c r="J160" s="32" t="s">
        <v>261</v>
      </c>
      <c r="K160" s="32" t="s">
        <v>129</v>
      </c>
      <c r="L160" s="32">
        <v>0.33</v>
      </c>
      <c r="M160" s="32">
        <v>34.67</v>
      </c>
      <c r="N160" s="40">
        <v>2005</v>
      </c>
      <c r="O160" s="32">
        <f>VLOOKUP(Data!N1346, CPI!$A$2:$B$112, 2, 0)</f>
        <v>201.6</v>
      </c>
      <c r="P160" s="32" t="s">
        <v>238</v>
      </c>
      <c r="Q160" s="32" t="s">
        <v>239</v>
      </c>
      <c r="R160" s="32" t="s">
        <v>490</v>
      </c>
      <c r="S160" s="32">
        <v>0.11</v>
      </c>
      <c r="T160" s="32" t="s">
        <v>430</v>
      </c>
      <c r="Z160" s="38" t="s">
        <v>347</v>
      </c>
      <c r="AA160" s="55" t="s">
        <v>1448</v>
      </c>
      <c r="AB160" s="32">
        <v>24000</v>
      </c>
      <c r="AC160" s="32" t="s">
        <v>2274</v>
      </c>
      <c r="AH160" s="32" t="s">
        <v>397</v>
      </c>
      <c r="AI160" s="32" t="s">
        <v>2268</v>
      </c>
      <c r="AK160" s="40" t="s">
        <v>498</v>
      </c>
      <c r="AL160" s="32">
        <v>2009</v>
      </c>
      <c r="AM160" s="32" t="s">
        <v>499</v>
      </c>
      <c r="AN160" s="32" t="s">
        <v>500</v>
      </c>
      <c r="AO160" s="38" t="s">
        <v>501</v>
      </c>
      <c r="AP160" s="35" t="s">
        <v>396</v>
      </c>
    </row>
    <row r="161" spans="1:42" x14ac:dyDescent="0.2">
      <c r="A161" s="40">
        <v>20</v>
      </c>
      <c r="B161" s="40">
        <v>160</v>
      </c>
      <c r="C161" s="51" t="s">
        <v>119</v>
      </c>
      <c r="D161" s="38" t="s">
        <v>128</v>
      </c>
      <c r="E161" s="32" t="s">
        <v>2183</v>
      </c>
      <c r="F161" s="32" t="s">
        <v>126</v>
      </c>
      <c r="G161" s="38" t="s">
        <v>153</v>
      </c>
      <c r="H161" s="32" t="s">
        <v>115</v>
      </c>
      <c r="I161" s="32" t="s">
        <v>243</v>
      </c>
      <c r="J161" s="32" t="s">
        <v>261</v>
      </c>
      <c r="K161" s="32" t="s">
        <v>129</v>
      </c>
      <c r="L161" s="32">
        <v>0.33</v>
      </c>
      <c r="M161" s="32">
        <v>34.67</v>
      </c>
      <c r="N161" s="40">
        <v>2005</v>
      </c>
      <c r="O161" s="32">
        <f>VLOOKUP(Data!N1347, CPI!$A$2:$B$112, 2, 0)</f>
        <v>201.6</v>
      </c>
      <c r="P161" s="32" t="s">
        <v>238</v>
      </c>
      <c r="Q161" s="32" t="s">
        <v>239</v>
      </c>
      <c r="R161" s="32" t="s">
        <v>491</v>
      </c>
      <c r="S161" s="32">
        <v>0.03</v>
      </c>
      <c r="T161" s="32" t="s">
        <v>430</v>
      </c>
      <c r="Z161" s="38" t="s">
        <v>347</v>
      </c>
      <c r="AA161" s="55" t="s">
        <v>1448</v>
      </c>
      <c r="AB161" s="32">
        <v>24000</v>
      </c>
      <c r="AC161" s="32" t="s">
        <v>2274</v>
      </c>
      <c r="AH161" s="32" t="s">
        <v>397</v>
      </c>
      <c r="AI161" s="32" t="s">
        <v>2268</v>
      </c>
      <c r="AK161" s="40" t="s">
        <v>498</v>
      </c>
      <c r="AL161" s="32">
        <v>2009</v>
      </c>
      <c r="AM161" s="32" t="s">
        <v>499</v>
      </c>
      <c r="AN161" s="32" t="s">
        <v>500</v>
      </c>
      <c r="AO161" s="38" t="s">
        <v>501</v>
      </c>
      <c r="AP161" s="35" t="s">
        <v>396</v>
      </c>
    </row>
    <row r="162" spans="1:42" x14ac:dyDescent="0.2">
      <c r="A162" s="40">
        <v>20</v>
      </c>
      <c r="B162" s="40">
        <v>161</v>
      </c>
      <c r="C162" s="51" t="s">
        <v>119</v>
      </c>
      <c r="D162" s="38" t="s">
        <v>128</v>
      </c>
      <c r="E162" s="32" t="s">
        <v>2186</v>
      </c>
      <c r="F162" s="32" t="s">
        <v>29</v>
      </c>
      <c r="G162" s="38" t="s">
        <v>29</v>
      </c>
      <c r="H162" s="32" t="s">
        <v>115</v>
      </c>
      <c r="I162" s="32" t="s">
        <v>243</v>
      </c>
      <c r="J162" s="32" t="s">
        <v>261</v>
      </c>
      <c r="K162" s="32" t="s">
        <v>129</v>
      </c>
      <c r="L162" s="32">
        <v>0.33</v>
      </c>
      <c r="M162" s="32">
        <v>34.67</v>
      </c>
      <c r="N162" s="40">
        <v>2005</v>
      </c>
      <c r="O162" s="32">
        <f>VLOOKUP(Data!N1348, CPI!$A$2:$B$112, 2, 0)</f>
        <v>201.6</v>
      </c>
      <c r="P162" s="32" t="s">
        <v>238</v>
      </c>
      <c r="Q162" s="32" t="s">
        <v>239</v>
      </c>
      <c r="R162" s="32" t="s">
        <v>492</v>
      </c>
      <c r="S162" s="32">
        <v>72.63</v>
      </c>
      <c r="T162" s="32" t="s">
        <v>346</v>
      </c>
      <c r="Z162" s="38" t="s">
        <v>347</v>
      </c>
      <c r="AA162" s="55" t="s">
        <v>1448</v>
      </c>
      <c r="AB162" s="32">
        <v>24000</v>
      </c>
      <c r="AC162" s="32" t="s">
        <v>2274</v>
      </c>
      <c r="AH162" s="32" t="s">
        <v>397</v>
      </c>
      <c r="AI162" s="32" t="s">
        <v>2268</v>
      </c>
      <c r="AK162" s="40" t="s">
        <v>498</v>
      </c>
      <c r="AL162" s="32">
        <v>2009</v>
      </c>
      <c r="AM162" s="32" t="s">
        <v>499</v>
      </c>
      <c r="AN162" s="32" t="s">
        <v>500</v>
      </c>
      <c r="AO162" s="38" t="s">
        <v>501</v>
      </c>
      <c r="AP162" s="35" t="s">
        <v>396</v>
      </c>
    </row>
    <row r="163" spans="1:42" x14ac:dyDescent="0.2">
      <c r="A163" s="40">
        <v>20</v>
      </c>
      <c r="B163" s="40">
        <v>162</v>
      </c>
      <c r="C163" s="51" t="s">
        <v>119</v>
      </c>
      <c r="D163" s="38" t="s">
        <v>128</v>
      </c>
      <c r="E163" s="32" t="s">
        <v>2183</v>
      </c>
      <c r="F163" s="32" t="s">
        <v>126</v>
      </c>
      <c r="G163" s="38" t="s">
        <v>60</v>
      </c>
      <c r="H163" s="32" t="s">
        <v>115</v>
      </c>
      <c r="I163" s="32" t="s">
        <v>243</v>
      </c>
      <c r="J163" s="32" t="s">
        <v>261</v>
      </c>
      <c r="K163" s="32" t="s">
        <v>129</v>
      </c>
      <c r="L163" s="32">
        <v>0.33</v>
      </c>
      <c r="M163" s="32">
        <v>34.67</v>
      </c>
      <c r="N163" s="40">
        <v>2005</v>
      </c>
      <c r="O163" s="32">
        <f>VLOOKUP(Data!N1349, CPI!$A$2:$B$112, 2, 0)</f>
        <v>201.6</v>
      </c>
      <c r="P163" s="32" t="s">
        <v>238</v>
      </c>
      <c r="Q163" s="32" t="s">
        <v>239</v>
      </c>
      <c r="R163" s="32" t="s">
        <v>493</v>
      </c>
      <c r="S163" s="32">
        <v>16.48</v>
      </c>
      <c r="T163" s="32" t="s">
        <v>497</v>
      </c>
      <c r="Z163" s="38" t="s">
        <v>347</v>
      </c>
      <c r="AA163" s="55" t="s">
        <v>1448</v>
      </c>
      <c r="AB163" s="32">
        <v>24000</v>
      </c>
      <c r="AC163" s="32" t="s">
        <v>2274</v>
      </c>
      <c r="AH163" s="32" t="s">
        <v>397</v>
      </c>
      <c r="AI163" s="32" t="s">
        <v>2268</v>
      </c>
      <c r="AK163" s="40" t="s">
        <v>498</v>
      </c>
      <c r="AL163" s="32">
        <v>2009</v>
      </c>
      <c r="AM163" s="32" t="s">
        <v>499</v>
      </c>
      <c r="AN163" s="32" t="s">
        <v>500</v>
      </c>
      <c r="AO163" s="38" t="s">
        <v>501</v>
      </c>
      <c r="AP163" s="35" t="s">
        <v>396</v>
      </c>
    </row>
    <row r="164" spans="1:42" x14ac:dyDescent="0.2">
      <c r="A164" s="40">
        <v>20</v>
      </c>
      <c r="B164" s="40">
        <v>163</v>
      </c>
      <c r="C164" s="51" t="s">
        <v>119</v>
      </c>
      <c r="D164" s="38" t="s">
        <v>128</v>
      </c>
      <c r="E164" s="32" t="s">
        <v>2183</v>
      </c>
      <c r="F164" s="32" t="s">
        <v>126</v>
      </c>
      <c r="G164" s="38" t="s">
        <v>127</v>
      </c>
      <c r="H164" s="32" t="s">
        <v>115</v>
      </c>
      <c r="I164" s="32" t="s">
        <v>243</v>
      </c>
      <c r="J164" s="32" t="s">
        <v>261</v>
      </c>
      <c r="K164" s="32" t="s">
        <v>129</v>
      </c>
      <c r="L164" s="32">
        <v>0.33</v>
      </c>
      <c r="M164" s="32">
        <v>34.67</v>
      </c>
      <c r="N164" s="40">
        <v>2005</v>
      </c>
      <c r="O164" s="32">
        <f>VLOOKUP(Data!N1350, CPI!$A$2:$B$112, 2, 0)</f>
        <v>255.65700000000001</v>
      </c>
      <c r="P164" s="32" t="s">
        <v>238</v>
      </c>
      <c r="Q164" s="32" t="s">
        <v>239</v>
      </c>
      <c r="R164" s="32" t="s">
        <v>494</v>
      </c>
      <c r="S164" s="32">
        <v>0.11</v>
      </c>
      <c r="T164" s="32" t="s">
        <v>430</v>
      </c>
      <c r="Z164" s="38" t="s">
        <v>347</v>
      </c>
      <c r="AA164" s="55" t="s">
        <v>1448</v>
      </c>
      <c r="AB164" s="32">
        <v>24000</v>
      </c>
      <c r="AC164" s="32" t="s">
        <v>2274</v>
      </c>
      <c r="AH164" s="32" t="s">
        <v>397</v>
      </c>
      <c r="AI164" s="32" t="s">
        <v>2268</v>
      </c>
      <c r="AK164" s="40" t="s">
        <v>498</v>
      </c>
      <c r="AL164" s="32">
        <v>2009</v>
      </c>
      <c r="AM164" s="32" t="s">
        <v>499</v>
      </c>
      <c r="AN164" s="32" t="s">
        <v>500</v>
      </c>
      <c r="AO164" s="38" t="s">
        <v>501</v>
      </c>
      <c r="AP164" s="35" t="s">
        <v>396</v>
      </c>
    </row>
    <row r="165" spans="1:42" x14ac:dyDescent="0.2">
      <c r="A165" s="40">
        <v>20</v>
      </c>
      <c r="B165" s="40">
        <v>164</v>
      </c>
      <c r="C165" s="51" t="s">
        <v>119</v>
      </c>
      <c r="D165" s="38" t="s">
        <v>128</v>
      </c>
      <c r="E165" s="32" t="s">
        <v>2183</v>
      </c>
      <c r="F165" s="32" t="s">
        <v>126</v>
      </c>
      <c r="G165" s="38" t="s">
        <v>153</v>
      </c>
      <c r="H165" s="32" t="s">
        <v>115</v>
      </c>
      <c r="I165" s="32" t="s">
        <v>243</v>
      </c>
      <c r="J165" s="32" t="s">
        <v>261</v>
      </c>
      <c r="K165" s="32" t="s">
        <v>129</v>
      </c>
      <c r="L165" s="32">
        <v>0.33</v>
      </c>
      <c r="M165" s="32">
        <v>34.67</v>
      </c>
      <c r="N165" s="40">
        <v>2005</v>
      </c>
      <c r="O165" s="32">
        <f>VLOOKUP(Data!N1351, CPI!$A$2:$B$112, 2, 0)</f>
        <v>218.05600000000001</v>
      </c>
      <c r="P165" s="32" t="s">
        <v>238</v>
      </c>
      <c r="Q165" s="32" t="s">
        <v>239</v>
      </c>
      <c r="R165" s="32" t="s">
        <v>495</v>
      </c>
      <c r="S165" s="32">
        <v>0.03</v>
      </c>
      <c r="T165" s="32" t="s">
        <v>430</v>
      </c>
      <c r="Z165" s="38" t="s">
        <v>347</v>
      </c>
      <c r="AA165" s="55" t="s">
        <v>1448</v>
      </c>
      <c r="AB165" s="32">
        <v>24000</v>
      </c>
      <c r="AC165" s="32" t="s">
        <v>2274</v>
      </c>
      <c r="AH165" s="32" t="s">
        <v>397</v>
      </c>
      <c r="AI165" s="32" t="s">
        <v>2268</v>
      </c>
      <c r="AK165" s="40" t="s">
        <v>498</v>
      </c>
      <c r="AL165" s="32">
        <v>2009</v>
      </c>
      <c r="AM165" s="32" t="s">
        <v>499</v>
      </c>
      <c r="AN165" s="32" t="s">
        <v>500</v>
      </c>
      <c r="AO165" s="38" t="s">
        <v>501</v>
      </c>
      <c r="AP165" s="35" t="s">
        <v>396</v>
      </c>
    </row>
    <row r="166" spans="1:42" x14ac:dyDescent="0.2">
      <c r="A166" s="40">
        <v>20</v>
      </c>
      <c r="B166" s="40">
        <v>165</v>
      </c>
      <c r="C166" s="51" t="s">
        <v>119</v>
      </c>
      <c r="D166" s="38" t="s">
        <v>128</v>
      </c>
      <c r="E166" s="32" t="s">
        <v>2186</v>
      </c>
      <c r="F166" s="32" t="s">
        <v>29</v>
      </c>
      <c r="G166" s="38" t="s">
        <v>29</v>
      </c>
      <c r="H166" s="32" t="s">
        <v>115</v>
      </c>
      <c r="I166" s="32" t="s">
        <v>243</v>
      </c>
      <c r="J166" s="32" t="s">
        <v>261</v>
      </c>
      <c r="K166" s="32" t="s">
        <v>129</v>
      </c>
      <c r="L166" s="32">
        <v>0.33</v>
      </c>
      <c r="M166" s="32">
        <v>34.67</v>
      </c>
      <c r="N166" s="40">
        <v>2005</v>
      </c>
      <c r="O166" s="32">
        <f>VLOOKUP(Data!N1352, CPI!$A$2:$B$112, 2, 0)</f>
        <v>218.05600000000001</v>
      </c>
      <c r="P166" s="32" t="s">
        <v>238</v>
      </c>
      <c r="Q166" s="32" t="s">
        <v>239</v>
      </c>
      <c r="R166" s="32" t="s">
        <v>496</v>
      </c>
      <c r="S166" s="32">
        <v>89.09</v>
      </c>
      <c r="T166" s="32" t="s">
        <v>346</v>
      </c>
      <c r="Z166" s="38" t="s">
        <v>347</v>
      </c>
      <c r="AA166" s="55" t="s">
        <v>1448</v>
      </c>
      <c r="AB166" s="32">
        <v>24000</v>
      </c>
      <c r="AC166" s="32" t="s">
        <v>2274</v>
      </c>
      <c r="AH166" s="32" t="s">
        <v>397</v>
      </c>
      <c r="AI166" s="32" t="s">
        <v>2268</v>
      </c>
      <c r="AK166" s="40" t="s">
        <v>498</v>
      </c>
      <c r="AL166" s="32">
        <v>2009</v>
      </c>
      <c r="AM166" s="32" t="s">
        <v>499</v>
      </c>
      <c r="AN166" s="32" t="s">
        <v>500</v>
      </c>
      <c r="AO166" s="38" t="s">
        <v>501</v>
      </c>
      <c r="AP166" s="35" t="s">
        <v>396</v>
      </c>
    </row>
    <row r="167" spans="1:42" x14ac:dyDescent="0.2">
      <c r="A167" s="40">
        <v>21</v>
      </c>
      <c r="B167" s="40">
        <v>166</v>
      </c>
      <c r="C167" s="40" t="s">
        <v>39</v>
      </c>
      <c r="D167" s="38" t="s">
        <v>181</v>
      </c>
      <c r="E167" s="32" t="s">
        <v>2183</v>
      </c>
      <c r="F167" s="32" t="s">
        <v>126</v>
      </c>
      <c r="G167" s="38" t="s">
        <v>127</v>
      </c>
      <c r="H167" s="32" t="s">
        <v>30</v>
      </c>
      <c r="I167" s="32" t="s">
        <v>243</v>
      </c>
      <c r="J167" s="32" t="s">
        <v>513</v>
      </c>
      <c r="K167" s="32" t="s">
        <v>129</v>
      </c>
      <c r="L167" s="32" t="s">
        <v>30</v>
      </c>
      <c r="M167" s="32" t="s">
        <v>30</v>
      </c>
      <c r="N167" s="40">
        <v>2020</v>
      </c>
      <c r="O167" s="32">
        <f>VLOOKUP(Data!N1353, CPI!$A$2:$B$112, 2, 0)</f>
        <v>218.05600000000001</v>
      </c>
      <c r="P167" s="32" t="s">
        <v>122</v>
      </c>
      <c r="Q167" s="32" t="s">
        <v>4</v>
      </c>
      <c r="R167" s="32" t="s">
        <v>506</v>
      </c>
      <c r="S167" s="32">
        <v>70.05</v>
      </c>
      <c r="T167" s="32" t="s">
        <v>2275</v>
      </c>
      <c r="Z167" s="38" t="s">
        <v>303</v>
      </c>
      <c r="AA167" s="35" t="s">
        <v>1412</v>
      </c>
      <c r="AB167" s="32" t="s">
        <v>30</v>
      </c>
      <c r="AI167" s="32" t="s">
        <v>2865</v>
      </c>
      <c r="AK167" s="40" t="s">
        <v>514</v>
      </c>
      <c r="AL167" s="32">
        <v>2020</v>
      </c>
      <c r="AM167" s="32" t="s">
        <v>515</v>
      </c>
      <c r="AN167" s="32" t="s">
        <v>516</v>
      </c>
      <c r="AO167" s="38" t="s">
        <v>517</v>
      </c>
      <c r="AP167" s="35" t="s">
        <v>396</v>
      </c>
    </row>
    <row r="168" spans="1:42" x14ac:dyDescent="0.2">
      <c r="A168" s="40">
        <v>21</v>
      </c>
      <c r="B168" s="40">
        <v>167</v>
      </c>
      <c r="C168" s="40" t="s">
        <v>39</v>
      </c>
      <c r="D168" s="38" t="s">
        <v>181</v>
      </c>
      <c r="E168" s="32" t="s">
        <v>2183</v>
      </c>
      <c r="F168" s="32" t="s">
        <v>126</v>
      </c>
      <c r="G168" s="38" t="s">
        <v>127</v>
      </c>
      <c r="H168" s="32" t="s">
        <v>30</v>
      </c>
      <c r="I168" s="32" t="s">
        <v>243</v>
      </c>
      <c r="J168" s="32" t="s">
        <v>513</v>
      </c>
      <c r="K168" s="32" t="s">
        <v>129</v>
      </c>
      <c r="L168" s="32" t="s">
        <v>30</v>
      </c>
      <c r="M168" s="32" t="s">
        <v>30</v>
      </c>
      <c r="N168" s="40">
        <v>2020</v>
      </c>
      <c r="O168" s="32">
        <f>VLOOKUP(Data!N1354, CPI!$A$2:$B$112, 2, 0)</f>
        <v>218.05600000000001</v>
      </c>
      <c r="P168" s="32" t="s">
        <v>122</v>
      </c>
      <c r="Q168" s="32" t="s">
        <v>4</v>
      </c>
      <c r="R168" s="32" t="s">
        <v>507</v>
      </c>
      <c r="S168" s="32">
        <v>63.76</v>
      </c>
      <c r="T168" s="32" t="s">
        <v>2275</v>
      </c>
      <c r="Z168" s="38" t="s">
        <v>303</v>
      </c>
      <c r="AA168" s="35" t="s">
        <v>1412</v>
      </c>
      <c r="AB168" s="32" t="s">
        <v>30</v>
      </c>
      <c r="AI168" s="32" t="s">
        <v>2865</v>
      </c>
      <c r="AK168" s="40" t="s">
        <v>514</v>
      </c>
      <c r="AL168" s="32">
        <v>2020</v>
      </c>
      <c r="AM168" s="32" t="s">
        <v>515</v>
      </c>
      <c r="AN168" s="32" t="s">
        <v>516</v>
      </c>
      <c r="AO168" s="38" t="s">
        <v>517</v>
      </c>
      <c r="AP168" s="35" t="s">
        <v>396</v>
      </c>
    </row>
    <row r="169" spans="1:42" x14ac:dyDescent="0.2">
      <c r="A169" s="40">
        <v>21</v>
      </c>
      <c r="B169" s="40">
        <v>168</v>
      </c>
      <c r="C169" s="40" t="s">
        <v>39</v>
      </c>
      <c r="D169" s="38" t="s">
        <v>181</v>
      </c>
      <c r="E169" s="32" t="s">
        <v>2183</v>
      </c>
      <c r="F169" s="32" t="s">
        <v>126</v>
      </c>
      <c r="G169" s="38" t="s">
        <v>127</v>
      </c>
      <c r="H169" s="32" t="s">
        <v>30</v>
      </c>
      <c r="I169" s="32" t="s">
        <v>243</v>
      </c>
      <c r="J169" s="32" t="s">
        <v>513</v>
      </c>
      <c r="K169" s="32" t="s">
        <v>129</v>
      </c>
      <c r="L169" s="32" t="s">
        <v>30</v>
      </c>
      <c r="M169" s="32" t="s">
        <v>30</v>
      </c>
      <c r="N169" s="40">
        <v>2020</v>
      </c>
      <c r="O169" s="32">
        <f>VLOOKUP(Data!N1355, CPI!$A$2:$B$112, 2, 0)</f>
        <v>218.05600000000001</v>
      </c>
      <c r="P169" s="32" t="s">
        <v>122</v>
      </c>
      <c r="Q169" s="32" t="s">
        <v>4</v>
      </c>
      <c r="R169" s="32" t="s">
        <v>508</v>
      </c>
      <c r="S169" s="32">
        <v>57.92</v>
      </c>
      <c r="T169" s="32" t="s">
        <v>2275</v>
      </c>
      <c r="Z169" s="38" t="s">
        <v>303</v>
      </c>
      <c r="AA169" s="35" t="s">
        <v>1412</v>
      </c>
      <c r="AB169" s="32" t="s">
        <v>30</v>
      </c>
      <c r="AI169" s="32" t="s">
        <v>2865</v>
      </c>
      <c r="AK169" s="40" t="s">
        <v>514</v>
      </c>
      <c r="AL169" s="32">
        <v>2020</v>
      </c>
      <c r="AM169" s="32" t="s">
        <v>515</v>
      </c>
      <c r="AN169" s="32" t="s">
        <v>516</v>
      </c>
      <c r="AO169" s="38" t="s">
        <v>517</v>
      </c>
      <c r="AP169" s="35" t="s">
        <v>396</v>
      </c>
    </row>
    <row r="170" spans="1:42" x14ac:dyDescent="0.2">
      <c r="A170" s="40">
        <v>21</v>
      </c>
      <c r="B170" s="40">
        <v>169</v>
      </c>
      <c r="C170" s="40" t="s">
        <v>39</v>
      </c>
      <c r="D170" s="38" t="s">
        <v>181</v>
      </c>
      <c r="E170" s="32" t="s">
        <v>2183</v>
      </c>
      <c r="F170" s="32" t="s">
        <v>126</v>
      </c>
      <c r="G170" s="38" t="s">
        <v>127</v>
      </c>
      <c r="H170" s="32" t="s">
        <v>30</v>
      </c>
      <c r="I170" s="32" t="s">
        <v>243</v>
      </c>
      <c r="J170" s="32" t="s">
        <v>513</v>
      </c>
      <c r="K170" s="32" t="s">
        <v>129</v>
      </c>
      <c r="L170" s="32" t="s">
        <v>30</v>
      </c>
      <c r="M170" s="32" t="s">
        <v>30</v>
      </c>
      <c r="N170" s="40">
        <v>2020</v>
      </c>
      <c r="O170" s="32">
        <f>VLOOKUP(Data!N1356, CPI!$A$2:$B$112, 2, 0)</f>
        <v>218.05600000000001</v>
      </c>
      <c r="P170" s="32" t="s">
        <v>122</v>
      </c>
      <c r="Q170" s="32" t="s">
        <v>4</v>
      </c>
      <c r="R170" s="32" t="s">
        <v>509</v>
      </c>
      <c r="S170" s="32">
        <v>58.47</v>
      </c>
      <c r="T170" s="32" t="s">
        <v>2275</v>
      </c>
      <c r="Z170" s="38" t="s">
        <v>303</v>
      </c>
      <c r="AA170" s="35" t="s">
        <v>1412</v>
      </c>
      <c r="AB170" s="32" t="s">
        <v>30</v>
      </c>
      <c r="AI170" s="32" t="s">
        <v>2865</v>
      </c>
      <c r="AK170" s="40" t="s">
        <v>514</v>
      </c>
      <c r="AL170" s="32">
        <v>2020</v>
      </c>
      <c r="AM170" s="32" t="s">
        <v>515</v>
      </c>
      <c r="AN170" s="32" t="s">
        <v>516</v>
      </c>
      <c r="AO170" s="38" t="s">
        <v>517</v>
      </c>
      <c r="AP170" s="35" t="s">
        <v>396</v>
      </c>
    </row>
    <row r="171" spans="1:42" x14ac:dyDescent="0.2">
      <c r="A171" s="40">
        <v>21</v>
      </c>
      <c r="B171" s="40">
        <v>170</v>
      </c>
      <c r="C171" s="40" t="s">
        <v>39</v>
      </c>
      <c r="D171" s="38" t="s">
        <v>181</v>
      </c>
      <c r="E171" s="32" t="s">
        <v>2183</v>
      </c>
      <c r="F171" s="32" t="s">
        <v>126</v>
      </c>
      <c r="G171" s="38" t="s">
        <v>127</v>
      </c>
      <c r="H171" s="32" t="s">
        <v>30</v>
      </c>
      <c r="I171" s="32" t="s">
        <v>243</v>
      </c>
      <c r="J171" s="32" t="s">
        <v>513</v>
      </c>
      <c r="K171" s="32" t="s">
        <v>129</v>
      </c>
      <c r="L171" s="32" t="s">
        <v>30</v>
      </c>
      <c r="M171" s="32" t="s">
        <v>30</v>
      </c>
      <c r="N171" s="40">
        <v>2020</v>
      </c>
      <c r="O171" s="32">
        <f>VLOOKUP(Data!N1357, CPI!$A$2:$B$112, 2, 0)</f>
        <v>179.9</v>
      </c>
      <c r="P171" s="32" t="s">
        <v>122</v>
      </c>
      <c r="Q171" s="32" t="s">
        <v>4</v>
      </c>
      <c r="R171" s="32" t="s">
        <v>510</v>
      </c>
      <c r="S171" s="32">
        <v>71.11</v>
      </c>
      <c r="T171" s="32" t="s">
        <v>2275</v>
      </c>
      <c r="Z171" s="38" t="s">
        <v>303</v>
      </c>
      <c r="AA171" s="35" t="s">
        <v>1412</v>
      </c>
      <c r="AB171" s="32" t="s">
        <v>30</v>
      </c>
      <c r="AI171" s="32" t="s">
        <v>2865</v>
      </c>
      <c r="AK171" s="40" t="s">
        <v>514</v>
      </c>
      <c r="AL171" s="32">
        <v>2020</v>
      </c>
      <c r="AM171" s="32" t="s">
        <v>515</v>
      </c>
      <c r="AN171" s="32" t="s">
        <v>516</v>
      </c>
      <c r="AO171" s="38" t="s">
        <v>517</v>
      </c>
      <c r="AP171" s="35" t="s">
        <v>396</v>
      </c>
    </row>
    <row r="172" spans="1:42" x14ac:dyDescent="0.2">
      <c r="A172" s="40">
        <v>21</v>
      </c>
      <c r="B172" s="40">
        <v>171</v>
      </c>
      <c r="C172" s="40" t="s">
        <v>39</v>
      </c>
      <c r="D172" s="38" t="s">
        <v>181</v>
      </c>
      <c r="E172" s="32" t="s">
        <v>2183</v>
      </c>
      <c r="F172" s="32" t="s">
        <v>126</v>
      </c>
      <c r="G172" s="38" t="s">
        <v>127</v>
      </c>
      <c r="H172" s="32" t="s">
        <v>30</v>
      </c>
      <c r="I172" s="32" t="s">
        <v>243</v>
      </c>
      <c r="J172" s="32" t="s">
        <v>513</v>
      </c>
      <c r="K172" s="32" t="s">
        <v>129</v>
      </c>
      <c r="L172" s="32" t="s">
        <v>30</v>
      </c>
      <c r="M172" s="32" t="s">
        <v>30</v>
      </c>
      <c r="N172" s="40">
        <v>2020</v>
      </c>
      <c r="O172" s="32">
        <f>VLOOKUP(Data!N1358, CPI!$A$2:$B$112, 2, 0)</f>
        <v>179.9</v>
      </c>
      <c r="P172" s="32" t="s">
        <v>122</v>
      </c>
      <c r="Q172" s="32" t="s">
        <v>4</v>
      </c>
      <c r="R172" s="32" t="s">
        <v>511</v>
      </c>
      <c r="S172" s="32">
        <v>62.41</v>
      </c>
      <c r="T172" s="32" t="s">
        <v>2275</v>
      </c>
      <c r="Z172" s="38" t="s">
        <v>303</v>
      </c>
      <c r="AA172" s="35" t="s">
        <v>1412</v>
      </c>
      <c r="AB172" s="32" t="s">
        <v>30</v>
      </c>
      <c r="AI172" s="32" t="s">
        <v>2865</v>
      </c>
      <c r="AK172" s="40" t="s">
        <v>514</v>
      </c>
      <c r="AL172" s="32">
        <v>2020</v>
      </c>
      <c r="AM172" s="32" t="s">
        <v>515</v>
      </c>
      <c r="AN172" s="32" t="s">
        <v>516</v>
      </c>
      <c r="AO172" s="38" t="s">
        <v>517</v>
      </c>
      <c r="AP172" s="35" t="s">
        <v>396</v>
      </c>
    </row>
    <row r="173" spans="1:42" x14ac:dyDescent="0.2">
      <c r="A173" s="40">
        <v>21</v>
      </c>
      <c r="B173" s="40">
        <v>172</v>
      </c>
      <c r="C173" s="40" t="s">
        <v>39</v>
      </c>
      <c r="D173" s="38" t="s">
        <v>181</v>
      </c>
      <c r="E173" s="32" t="s">
        <v>2183</v>
      </c>
      <c r="F173" s="32" t="s">
        <v>126</v>
      </c>
      <c r="G173" s="38" t="s">
        <v>127</v>
      </c>
      <c r="H173" s="32" t="s">
        <v>30</v>
      </c>
      <c r="I173" s="32" t="s">
        <v>243</v>
      </c>
      <c r="J173" s="32" t="s">
        <v>513</v>
      </c>
      <c r="K173" s="32" t="s">
        <v>129</v>
      </c>
      <c r="L173" s="32" t="s">
        <v>30</v>
      </c>
      <c r="M173" s="32" t="s">
        <v>30</v>
      </c>
      <c r="N173" s="40">
        <v>2020</v>
      </c>
      <c r="O173" s="32">
        <f>VLOOKUP(Data!N1359, CPI!$A$2:$B$112, 2, 0)</f>
        <v>179.9</v>
      </c>
      <c r="P173" s="32" t="s">
        <v>122</v>
      </c>
      <c r="Q173" s="32" t="s">
        <v>4</v>
      </c>
      <c r="R173" s="32" t="s">
        <v>512</v>
      </c>
      <c r="S173" s="32">
        <v>101.92</v>
      </c>
      <c r="T173" s="32" t="s">
        <v>2275</v>
      </c>
      <c r="Z173" s="38" t="s">
        <v>303</v>
      </c>
      <c r="AA173" s="35" t="s">
        <v>1412</v>
      </c>
      <c r="AB173" s="32" t="s">
        <v>30</v>
      </c>
      <c r="AI173" s="32" t="s">
        <v>2865</v>
      </c>
      <c r="AK173" s="40" t="s">
        <v>514</v>
      </c>
      <c r="AL173" s="32">
        <v>2020</v>
      </c>
      <c r="AM173" s="32" t="s">
        <v>515</v>
      </c>
      <c r="AN173" s="32" t="s">
        <v>516</v>
      </c>
      <c r="AO173" s="38" t="s">
        <v>517</v>
      </c>
      <c r="AP173" s="35" t="s">
        <v>396</v>
      </c>
    </row>
    <row r="174" spans="1:42" x14ac:dyDescent="0.2">
      <c r="A174" s="40">
        <v>21</v>
      </c>
      <c r="B174" s="40">
        <v>173</v>
      </c>
      <c r="C174" s="40" t="s">
        <v>39</v>
      </c>
      <c r="D174" s="38" t="s">
        <v>181</v>
      </c>
      <c r="E174" s="32" t="s">
        <v>2183</v>
      </c>
      <c r="F174" s="32" t="s">
        <v>126</v>
      </c>
      <c r="G174" s="38" t="s">
        <v>127</v>
      </c>
      <c r="H174" s="32" t="s">
        <v>30</v>
      </c>
      <c r="I174" s="32" t="s">
        <v>243</v>
      </c>
      <c r="J174" s="32" t="s">
        <v>513</v>
      </c>
      <c r="K174" s="32" t="s">
        <v>129</v>
      </c>
      <c r="L174" s="32" t="s">
        <v>30</v>
      </c>
      <c r="M174" s="32" t="s">
        <v>30</v>
      </c>
      <c r="N174" s="40">
        <v>2020</v>
      </c>
      <c r="O174" s="32">
        <f>VLOOKUP(Data!N1360, CPI!$A$2:$B$112, 2, 0)</f>
        <v>215.303</v>
      </c>
      <c r="P174" s="32" t="s">
        <v>122</v>
      </c>
      <c r="Q174" s="32" t="s">
        <v>4</v>
      </c>
      <c r="R174" s="32" t="s">
        <v>502</v>
      </c>
      <c r="S174" s="32">
        <v>179.44</v>
      </c>
      <c r="T174" s="32" t="s">
        <v>2275</v>
      </c>
      <c r="Z174" s="38" t="s">
        <v>303</v>
      </c>
      <c r="AA174" s="35" t="s">
        <v>1412</v>
      </c>
      <c r="AB174" s="32" t="s">
        <v>30</v>
      </c>
      <c r="AI174" s="32" t="s">
        <v>2865</v>
      </c>
      <c r="AK174" s="40" t="s">
        <v>514</v>
      </c>
      <c r="AL174" s="32">
        <v>2020</v>
      </c>
      <c r="AM174" s="32" t="s">
        <v>515</v>
      </c>
      <c r="AN174" s="32" t="s">
        <v>516</v>
      </c>
      <c r="AO174" s="38" t="s">
        <v>517</v>
      </c>
      <c r="AP174" s="35" t="s">
        <v>396</v>
      </c>
    </row>
    <row r="175" spans="1:42" x14ac:dyDescent="0.2">
      <c r="A175" s="40">
        <v>21</v>
      </c>
      <c r="B175" s="40">
        <v>174</v>
      </c>
      <c r="C175" s="40" t="s">
        <v>39</v>
      </c>
      <c r="D175" s="38" t="s">
        <v>181</v>
      </c>
      <c r="E175" s="32" t="s">
        <v>2183</v>
      </c>
      <c r="F175" s="32" t="s">
        <v>126</v>
      </c>
      <c r="G175" s="38" t="s">
        <v>127</v>
      </c>
      <c r="H175" s="32" t="s">
        <v>30</v>
      </c>
      <c r="I175" s="32" t="s">
        <v>243</v>
      </c>
      <c r="J175" s="32" t="s">
        <v>513</v>
      </c>
      <c r="K175" s="32" t="s">
        <v>129</v>
      </c>
      <c r="L175" s="32" t="s">
        <v>30</v>
      </c>
      <c r="M175" s="32" t="s">
        <v>30</v>
      </c>
      <c r="N175" s="40">
        <v>2020</v>
      </c>
      <c r="O175" s="32">
        <f>VLOOKUP(Data!N1361, CPI!$A$2:$B$112, 2, 0)</f>
        <v>215.303</v>
      </c>
      <c r="P175" s="32" t="s">
        <v>122</v>
      </c>
      <c r="Q175" s="32" t="s">
        <v>4</v>
      </c>
      <c r="R175" s="32" t="s">
        <v>503</v>
      </c>
      <c r="S175" s="32">
        <v>121.17</v>
      </c>
      <c r="T175" s="32" t="s">
        <v>2275</v>
      </c>
      <c r="Z175" s="38" t="s">
        <v>303</v>
      </c>
      <c r="AA175" s="35" t="s">
        <v>1412</v>
      </c>
      <c r="AB175" s="32" t="s">
        <v>30</v>
      </c>
      <c r="AI175" s="32" t="s">
        <v>2865</v>
      </c>
      <c r="AK175" s="40" t="s">
        <v>514</v>
      </c>
      <c r="AL175" s="32">
        <v>2020</v>
      </c>
      <c r="AM175" s="32" t="s">
        <v>515</v>
      </c>
      <c r="AN175" s="32" t="s">
        <v>516</v>
      </c>
      <c r="AO175" s="38" t="s">
        <v>517</v>
      </c>
      <c r="AP175" s="35" t="s">
        <v>396</v>
      </c>
    </row>
    <row r="176" spans="1:42" x14ac:dyDescent="0.2">
      <c r="A176" s="40">
        <v>21</v>
      </c>
      <c r="B176" s="40">
        <v>175</v>
      </c>
      <c r="C176" s="40" t="s">
        <v>39</v>
      </c>
      <c r="D176" s="38" t="s">
        <v>181</v>
      </c>
      <c r="E176" s="32" t="s">
        <v>2183</v>
      </c>
      <c r="F176" s="32" t="s">
        <v>126</v>
      </c>
      <c r="G176" s="38" t="s">
        <v>127</v>
      </c>
      <c r="H176" s="32" t="s">
        <v>30</v>
      </c>
      <c r="I176" s="32" t="s">
        <v>243</v>
      </c>
      <c r="J176" s="32" t="s">
        <v>513</v>
      </c>
      <c r="K176" s="32" t="s">
        <v>129</v>
      </c>
      <c r="L176" s="32" t="s">
        <v>30</v>
      </c>
      <c r="M176" s="32" t="s">
        <v>30</v>
      </c>
      <c r="N176" s="40">
        <v>2020</v>
      </c>
      <c r="O176" s="32">
        <f>VLOOKUP(Data!N1362, CPI!$A$2:$B$112, 2, 0)</f>
        <v>109.6</v>
      </c>
      <c r="P176" s="32" t="s">
        <v>122</v>
      </c>
      <c r="Q176" s="32" t="s">
        <v>4</v>
      </c>
      <c r="R176" s="32" t="s">
        <v>504</v>
      </c>
      <c r="S176" s="32">
        <v>53.47</v>
      </c>
      <c r="T176" s="32" t="s">
        <v>2275</v>
      </c>
      <c r="Z176" s="38" t="s">
        <v>303</v>
      </c>
      <c r="AA176" s="35" t="s">
        <v>1412</v>
      </c>
      <c r="AB176" s="32" t="s">
        <v>30</v>
      </c>
      <c r="AI176" s="32" t="s">
        <v>2865</v>
      </c>
      <c r="AK176" s="40" t="s">
        <v>514</v>
      </c>
      <c r="AL176" s="32">
        <v>2020</v>
      </c>
      <c r="AM176" s="32" t="s">
        <v>515</v>
      </c>
      <c r="AN176" s="32" t="s">
        <v>516</v>
      </c>
      <c r="AO176" s="38" t="s">
        <v>517</v>
      </c>
      <c r="AP176" s="35" t="s">
        <v>396</v>
      </c>
    </row>
    <row r="177" spans="1:42" x14ac:dyDescent="0.2">
      <c r="A177" s="40">
        <v>21</v>
      </c>
      <c r="B177" s="40">
        <v>176</v>
      </c>
      <c r="C177" s="40" t="s">
        <v>39</v>
      </c>
      <c r="D177" s="38" t="s">
        <v>181</v>
      </c>
      <c r="E177" s="32" t="s">
        <v>2183</v>
      </c>
      <c r="F177" s="32" t="s">
        <v>126</v>
      </c>
      <c r="G177" s="38" t="s">
        <v>127</v>
      </c>
      <c r="H177" s="32" t="s">
        <v>30</v>
      </c>
      <c r="I177" s="32" t="s">
        <v>243</v>
      </c>
      <c r="J177" s="32" t="s">
        <v>513</v>
      </c>
      <c r="K177" s="32" t="s">
        <v>129</v>
      </c>
      <c r="L177" s="32" t="s">
        <v>30</v>
      </c>
      <c r="M177" s="32" t="s">
        <v>30</v>
      </c>
      <c r="N177" s="40">
        <v>2020</v>
      </c>
      <c r="O177" s="32">
        <f>VLOOKUP(Data!N1363, CPI!$A$2:$B$112, 2, 0)</f>
        <v>109.6</v>
      </c>
      <c r="P177" s="32" t="s">
        <v>122</v>
      </c>
      <c r="Q177" s="32" t="s">
        <v>4</v>
      </c>
      <c r="R177" s="32" t="s">
        <v>505</v>
      </c>
      <c r="S177" s="32">
        <v>52.83</v>
      </c>
      <c r="T177" s="32" t="s">
        <v>2275</v>
      </c>
      <c r="Z177" s="38" t="s">
        <v>303</v>
      </c>
      <c r="AA177" s="35" t="s">
        <v>1412</v>
      </c>
      <c r="AB177" s="32" t="s">
        <v>30</v>
      </c>
      <c r="AI177" s="32" t="s">
        <v>2865</v>
      </c>
      <c r="AK177" s="40" t="s">
        <v>514</v>
      </c>
      <c r="AL177" s="32">
        <v>2020</v>
      </c>
      <c r="AM177" s="32" t="s">
        <v>515</v>
      </c>
      <c r="AN177" s="32" t="s">
        <v>516</v>
      </c>
      <c r="AO177" s="38" t="s">
        <v>517</v>
      </c>
      <c r="AP177" s="35" t="s">
        <v>396</v>
      </c>
    </row>
    <row r="178" spans="1:42" x14ac:dyDescent="0.2">
      <c r="A178" s="40">
        <v>22</v>
      </c>
      <c r="B178" s="40">
        <v>177</v>
      </c>
      <c r="C178" s="40" t="s">
        <v>241</v>
      </c>
      <c r="D178" s="38" t="s">
        <v>240</v>
      </c>
      <c r="E178" s="32" t="s">
        <v>2184</v>
      </c>
      <c r="F178" s="32" t="s">
        <v>43</v>
      </c>
      <c r="G178" s="38" t="s">
        <v>169</v>
      </c>
      <c r="H178" s="32" t="s">
        <v>115</v>
      </c>
      <c r="I178" s="32" t="s">
        <v>137</v>
      </c>
      <c r="J178" s="32" t="s">
        <v>129</v>
      </c>
      <c r="K178" s="32" t="s">
        <v>129</v>
      </c>
      <c r="L178" s="32" t="s">
        <v>30</v>
      </c>
      <c r="M178" s="32" t="s">
        <v>30</v>
      </c>
      <c r="N178" s="40">
        <v>2006</v>
      </c>
      <c r="O178" s="32">
        <f>VLOOKUP(Data!N225, CPI!$A$2:$B$112, 2, 0)</f>
        <v>232.95699999999999</v>
      </c>
      <c r="P178" s="32" t="s">
        <v>21</v>
      </c>
      <c r="Q178" s="32" t="s">
        <v>239</v>
      </c>
      <c r="R178" s="32" t="s">
        <v>518</v>
      </c>
      <c r="S178" s="32">
        <v>390000000</v>
      </c>
      <c r="T178" s="32" t="s">
        <v>300</v>
      </c>
      <c r="U178" s="32">
        <f t="shared" ref="U178:U186" si="4">S178/AB178</f>
        <v>6.6936012604566066</v>
      </c>
      <c r="V178" s="32" t="s">
        <v>316</v>
      </c>
      <c r="X178" s="32">
        <f t="shared" ref="X178:X209" si="5">U178</f>
        <v>6.6936012604566066</v>
      </c>
      <c r="Y178" s="32">
        <f>(CPI!$B$112/O178)*X178</f>
        <v>8.7543395469199154</v>
      </c>
      <c r="Z178" s="38" t="s">
        <v>262</v>
      </c>
      <c r="AA178" s="35" t="s">
        <v>2276</v>
      </c>
      <c r="AB178" s="32">
        <v>58264600</v>
      </c>
      <c r="AC178" s="32" t="s">
        <v>2277</v>
      </c>
      <c r="AH178" s="32" t="s">
        <v>411</v>
      </c>
      <c r="AJ178" s="35" t="s">
        <v>2278</v>
      </c>
      <c r="AK178" s="40" t="s">
        <v>520</v>
      </c>
      <c r="AL178" s="32">
        <v>2006</v>
      </c>
      <c r="AM178" s="32" t="s">
        <v>521</v>
      </c>
      <c r="AN178" s="32" t="s">
        <v>522</v>
      </c>
      <c r="AO178" s="38" t="s">
        <v>523</v>
      </c>
      <c r="AP178" s="35" t="s">
        <v>396</v>
      </c>
    </row>
    <row r="179" spans="1:42" x14ac:dyDescent="0.2">
      <c r="A179" s="40">
        <v>22</v>
      </c>
      <c r="B179" s="40">
        <v>178</v>
      </c>
      <c r="C179" s="51" t="s">
        <v>119</v>
      </c>
      <c r="D179" s="38" t="s">
        <v>128</v>
      </c>
      <c r="E179" s="32" t="s">
        <v>2186</v>
      </c>
      <c r="F179" s="32" t="s">
        <v>29</v>
      </c>
      <c r="G179" s="38" t="s">
        <v>29</v>
      </c>
      <c r="H179" s="32" t="s">
        <v>115</v>
      </c>
      <c r="I179" s="32" t="s">
        <v>137</v>
      </c>
      <c r="J179" s="32" t="s">
        <v>129</v>
      </c>
      <c r="K179" s="32" t="s">
        <v>129</v>
      </c>
      <c r="L179" s="32" t="s">
        <v>30</v>
      </c>
      <c r="M179" s="32" t="s">
        <v>30</v>
      </c>
      <c r="N179" s="40">
        <v>2006</v>
      </c>
      <c r="O179" s="32">
        <f>VLOOKUP(Data!N226, CPI!$A$2:$B$112, 2, 0)</f>
        <v>232.95699999999999</v>
      </c>
      <c r="P179" s="32" t="s">
        <v>21</v>
      </c>
      <c r="Q179" s="32" t="s">
        <v>239</v>
      </c>
      <c r="R179" s="32" t="s">
        <v>519</v>
      </c>
      <c r="S179" s="32">
        <v>350000000</v>
      </c>
      <c r="T179" s="32" t="s">
        <v>300</v>
      </c>
      <c r="U179" s="32">
        <f t="shared" si="4"/>
        <v>6.0070780542559286</v>
      </c>
      <c r="V179" s="32" t="s">
        <v>316</v>
      </c>
      <c r="X179" s="32">
        <f t="shared" si="5"/>
        <v>6.0070780542559286</v>
      </c>
      <c r="Y179" s="32">
        <f>(CPI!$B$112/O179)*X179</f>
        <v>7.8564585677486409</v>
      </c>
      <c r="Z179" s="38" t="s">
        <v>262</v>
      </c>
      <c r="AA179" s="35" t="s">
        <v>2276</v>
      </c>
      <c r="AB179" s="32">
        <v>58264600</v>
      </c>
      <c r="AC179" s="32" t="s">
        <v>2277</v>
      </c>
      <c r="AH179" s="32" t="s">
        <v>411</v>
      </c>
      <c r="AJ179" s="35" t="s">
        <v>2278</v>
      </c>
      <c r="AK179" s="40" t="s">
        <v>520</v>
      </c>
      <c r="AL179" s="32">
        <v>2006</v>
      </c>
      <c r="AM179" s="32" t="s">
        <v>521</v>
      </c>
      <c r="AN179" s="32" t="s">
        <v>522</v>
      </c>
      <c r="AO179" s="38" t="s">
        <v>523</v>
      </c>
      <c r="AP179" s="35" t="s">
        <v>396</v>
      </c>
    </row>
    <row r="180" spans="1:42" x14ac:dyDescent="0.2">
      <c r="A180" s="40">
        <v>23</v>
      </c>
      <c r="B180" s="40">
        <v>179</v>
      </c>
      <c r="C180" s="40" t="s">
        <v>149</v>
      </c>
      <c r="D180" s="38" t="s">
        <v>148</v>
      </c>
      <c r="E180" s="32" t="s">
        <v>2186</v>
      </c>
      <c r="F180" s="32" t="s">
        <v>29</v>
      </c>
      <c r="G180" s="38" t="s">
        <v>29</v>
      </c>
      <c r="H180" s="32" t="s">
        <v>30</v>
      </c>
      <c r="I180" s="32" t="s">
        <v>243</v>
      </c>
      <c r="J180" s="32" t="s">
        <v>524</v>
      </c>
      <c r="K180" s="32" t="s">
        <v>129</v>
      </c>
      <c r="L180" s="32" t="s">
        <v>30</v>
      </c>
      <c r="M180" s="32" t="s">
        <v>30</v>
      </c>
      <c r="N180" s="40">
        <v>2013</v>
      </c>
      <c r="O180" s="32">
        <f>VLOOKUP(Data!N227, CPI!$A$2:$B$112, 2, 0)</f>
        <v>232.95699999999999</v>
      </c>
      <c r="P180" s="32" t="s">
        <v>238</v>
      </c>
      <c r="Q180" s="32" t="s">
        <v>239</v>
      </c>
      <c r="R180" s="32" t="s">
        <v>525</v>
      </c>
      <c r="S180" s="32">
        <v>761179</v>
      </c>
      <c r="T180" s="32" t="s">
        <v>300</v>
      </c>
      <c r="U180" s="32">
        <f t="shared" si="4"/>
        <v>419.38236914600549</v>
      </c>
      <c r="V180" s="32" t="s">
        <v>316</v>
      </c>
      <c r="X180" s="32">
        <f t="shared" si="5"/>
        <v>419.38236914600549</v>
      </c>
      <c r="Y180" s="32">
        <f>(CPI!$B$112/O180)*X180</f>
        <v>548.49632008784988</v>
      </c>
      <c r="Z180" s="38" t="s">
        <v>262</v>
      </c>
      <c r="AA180" s="35" t="s">
        <v>1446</v>
      </c>
      <c r="AB180" s="32">
        <v>1815</v>
      </c>
      <c r="AC180" s="32" t="s">
        <v>1446</v>
      </c>
      <c r="AH180" s="32" t="s">
        <v>411</v>
      </c>
      <c r="AK180" s="40" t="s">
        <v>536</v>
      </c>
      <c r="AL180" s="32">
        <v>2014</v>
      </c>
      <c r="AM180" s="32" t="s">
        <v>537</v>
      </c>
      <c r="AN180" s="32" t="s">
        <v>538</v>
      </c>
      <c r="AO180" s="38" t="s">
        <v>539</v>
      </c>
      <c r="AP180" s="35" t="s">
        <v>396</v>
      </c>
    </row>
    <row r="181" spans="1:42" x14ac:dyDescent="0.2">
      <c r="A181" s="40">
        <v>23</v>
      </c>
      <c r="B181" s="40">
        <v>180</v>
      </c>
      <c r="C181" s="40" t="s">
        <v>149</v>
      </c>
      <c r="D181" s="38" t="s">
        <v>148</v>
      </c>
      <c r="E181" s="32" t="s">
        <v>2183</v>
      </c>
      <c r="F181" s="32" t="s">
        <v>237</v>
      </c>
      <c r="G181" s="38" t="s">
        <v>154</v>
      </c>
      <c r="H181" s="32" t="s">
        <v>30</v>
      </c>
      <c r="I181" s="32" t="s">
        <v>243</v>
      </c>
      <c r="J181" s="32" t="s">
        <v>524</v>
      </c>
      <c r="K181" s="32" t="s">
        <v>129</v>
      </c>
      <c r="L181" s="32" t="s">
        <v>30</v>
      </c>
      <c r="M181" s="32" t="s">
        <v>30</v>
      </c>
      <c r="N181" s="40">
        <v>2013</v>
      </c>
      <c r="O181" s="32">
        <f>VLOOKUP(Data!N228, CPI!$A$2:$B$112, 2, 0)</f>
        <v>232.95699999999999</v>
      </c>
      <c r="P181" s="32" t="s">
        <v>238</v>
      </c>
      <c r="Q181" s="32" t="s">
        <v>239</v>
      </c>
      <c r="R181" s="32" t="s">
        <v>526</v>
      </c>
      <c r="S181" s="32">
        <v>186956</v>
      </c>
      <c r="T181" s="32" t="s">
        <v>300</v>
      </c>
      <c r="U181" s="32">
        <f t="shared" si="4"/>
        <v>103.0060606060606</v>
      </c>
      <c r="V181" s="32" t="s">
        <v>316</v>
      </c>
      <c r="X181" s="32">
        <f t="shared" si="5"/>
        <v>103.0060606060606</v>
      </c>
      <c r="Y181" s="32">
        <f>(CPI!$B$112/O181)*X181</f>
        <v>134.71821742105871</v>
      </c>
      <c r="Z181" s="38" t="s">
        <v>262</v>
      </c>
      <c r="AA181" s="35" t="s">
        <v>1446</v>
      </c>
      <c r="AB181" s="32">
        <v>1815</v>
      </c>
      <c r="AC181" s="32" t="s">
        <v>1446</v>
      </c>
      <c r="AH181" s="32" t="s">
        <v>411</v>
      </c>
      <c r="AK181" s="40" t="s">
        <v>536</v>
      </c>
      <c r="AL181" s="32">
        <v>2014</v>
      </c>
      <c r="AM181" s="32" t="s">
        <v>537</v>
      </c>
      <c r="AN181" s="32" t="s">
        <v>538</v>
      </c>
      <c r="AO181" s="38" t="s">
        <v>539</v>
      </c>
      <c r="AP181" s="35" t="s">
        <v>396</v>
      </c>
    </row>
    <row r="182" spans="1:42" x14ac:dyDescent="0.2">
      <c r="A182" s="40">
        <v>23</v>
      </c>
      <c r="B182" s="40">
        <v>181</v>
      </c>
      <c r="C182" s="40" t="s">
        <v>149</v>
      </c>
      <c r="D182" s="38" t="s">
        <v>148</v>
      </c>
      <c r="E182" s="32" t="s">
        <v>2183</v>
      </c>
      <c r="F182" s="32" t="s">
        <v>237</v>
      </c>
      <c r="G182" s="38" t="s">
        <v>154</v>
      </c>
      <c r="H182" s="32" t="s">
        <v>30</v>
      </c>
      <c r="I182" s="32" t="s">
        <v>243</v>
      </c>
      <c r="J182" s="32" t="s">
        <v>524</v>
      </c>
      <c r="K182" s="32" t="s">
        <v>129</v>
      </c>
      <c r="L182" s="32" t="s">
        <v>30</v>
      </c>
      <c r="M182" s="32" t="s">
        <v>30</v>
      </c>
      <c r="N182" s="40">
        <v>2013</v>
      </c>
      <c r="O182" s="32">
        <f>VLOOKUP(Data!N229, CPI!$A$2:$B$112, 2, 0)</f>
        <v>232.95699999999999</v>
      </c>
      <c r="P182" s="32" t="s">
        <v>238</v>
      </c>
      <c r="Q182" s="32" t="s">
        <v>239</v>
      </c>
      <c r="R182" s="32" t="s">
        <v>527</v>
      </c>
      <c r="S182" s="58">
        <v>82525</v>
      </c>
      <c r="T182" s="32" t="s">
        <v>300</v>
      </c>
      <c r="U182" s="32">
        <f t="shared" si="4"/>
        <v>45.468319559228647</v>
      </c>
      <c r="V182" s="32" t="s">
        <v>316</v>
      </c>
      <c r="X182" s="32">
        <f t="shared" si="5"/>
        <v>45.468319559228647</v>
      </c>
      <c r="Y182" s="32">
        <f>(CPI!$B$112/O182)*X182</f>
        <v>59.466510262697483</v>
      </c>
      <c r="Z182" s="38" t="s">
        <v>262</v>
      </c>
      <c r="AA182" s="35" t="s">
        <v>1446</v>
      </c>
      <c r="AB182" s="32">
        <v>1815</v>
      </c>
      <c r="AC182" s="32" t="s">
        <v>1446</v>
      </c>
      <c r="AH182" s="32" t="s">
        <v>411</v>
      </c>
      <c r="AK182" s="40" t="s">
        <v>536</v>
      </c>
      <c r="AL182" s="32">
        <v>2014</v>
      </c>
      <c r="AM182" s="32" t="s">
        <v>537</v>
      </c>
      <c r="AN182" s="32" t="s">
        <v>538</v>
      </c>
      <c r="AO182" s="38" t="s">
        <v>539</v>
      </c>
      <c r="AP182" s="35" t="s">
        <v>396</v>
      </c>
    </row>
    <row r="183" spans="1:42" x14ac:dyDescent="0.2">
      <c r="A183" s="40">
        <v>23</v>
      </c>
      <c r="B183" s="40">
        <v>182</v>
      </c>
      <c r="C183" s="40" t="s">
        <v>149</v>
      </c>
      <c r="D183" s="38" t="s">
        <v>148</v>
      </c>
      <c r="E183" s="32" t="s">
        <v>2184</v>
      </c>
      <c r="F183" s="32" t="s">
        <v>145</v>
      </c>
      <c r="G183" s="38" t="s">
        <v>146</v>
      </c>
      <c r="H183" s="32" t="s">
        <v>30</v>
      </c>
      <c r="I183" s="32" t="s">
        <v>243</v>
      </c>
      <c r="J183" s="32" t="s">
        <v>524</v>
      </c>
      <c r="K183" s="32" t="s">
        <v>129</v>
      </c>
      <c r="L183" s="32" t="s">
        <v>30</v>
      </c>
      <c r="M183" s="32" t="s">
        <v>30</v>
      </c>
      <c r="N183" s="40">
        <v>2013</v>
      </c>
      <c r="O183" s="32">
        <f>VLOOKUP(Data!N230, CPI!$A$2:$B$112, 2, 0)</f>
        <v>232.95699999999999</v>
      </c>
      <c r="P183" s="32" t="s">
        <v>245</v>
      </c>
      <c r="Q183" s="32" t="s">
        <v>239</v>
      </c>
      <c r="R183" s="32" t="s">
        <v>528</v>
      </c>
      <c r="S183" s="58">
        <v>496234</v>
      </c>
      <c r="T183" s="32" t="s">
        <v>300</v>
      </c>
      <c r="U183" s="32">
        <f t="shared" si="4"/>
        <v>273.40716253443526</v>
      </c>
      <c r="V183" s="32" t="s">
        <v>316</v>
      </c>
      <c r="X183" s="32">
        <f t="shared" si="5"/>
        <v>273.40716253443526</v>
      </c>
      <c r="Y183" s="32">
        <f>(CPI!$B$112/O183)*X183</f>
        <v>357.58017877854496</v>
      </c>
      <c r="Z183" s="38" t="s">
        <v>262</v>
      </c>
      <c r="AA183" s="35" t="s">
        <v>1446</v>
      </c>
      <c r="AB183" s="32">
        <v>1815</v>
      </c>
      <c r="AC183" s="32" t="s">
        <v>1446</v>
      </c>
      <c r="AH183" s="32" t="s">
        <v>411</v>
      </c>
      <c r="AK183" s="40" t="s">
        <v>536</v>
      </c>
      <c r="AL183" s="32">
        <v>2014</v>
      </c>
      <c r="AM183" s="32" t="s">
        <v>537</v>
      </c>
      <c r="AN183" s="32" t="s">
        <v>538</v>
      </c>
      <c r="AO183" s="38" t="s">
        <v>539</v>
      </c>
      <c r="AP183" s="35" t="s">
        <v>396</v>
      </c>
    </row>
    <row r="184" spans="1:42" x14ac:dyDescent="0.2">
      <c r="A184" s="40">
        <v>23</v>
      </c>
      <c r="B184" s="40">
        <v>183</v>
      </c>
      <c r="C184" s="40" t="s">
        <v>149</v>
      </c>
      <c r="D184" s="38" t="s">
        <v>148</v>
      </c>
      <c r="E184" s="32" t="s">
        <v>2184</v>
      </c>
      <c r="F184" s="32" t="s">
        <v>155</v>
      </c>
      <c r="G184" s="38" t="s">
        <v>28</v>
      </c>
      <c r="H184" s="32" t="s">
        <v>30</v>
      </c>
      <c r="I184" s="32" t="s">
        <v>243</v>
      </c>
      <c r="J184" s="32" t="s">
        <v>524</v>
      </c>
      <c r="K184" s="32" t="s">
        <v>129</v>
      </c>
      <c r="L184" s="32" t="s">
        <v>30</v>
      </c>
      <c r="M184" s="32" t="s">
        <v>30</v>
      </c>
      <c r="N184" s="40">
        <v>2013</v>
      </c>
      <c r="O184" s="32">
        <f>VLOOKUP(Data!N231, CPI!$A$2:$B$112, 2, 0)</f>
        <v>232.95699999999999</v>
      </c>
      <c r="P184" s="32" t="s">
        <v>245</v>
      </c>
      <c r="Q184" s="32" t="s">
        <v>239</v>
      </c>
      <c r="R184" s="32" t="s">
        <v>529</v>
      </c>
      <c r="S184" s="58">
        <v>63175</v>
      </c>
      <c r="T184" s="32" t="s">
        <v>300</v>
      </c>
      <c r="U184" s="32">
        <f t="shared" si="4"/>
        <v>34.807162534435264</v>
      </c>
      <c r="V184" s="32" t="s">
        <v>316</v>
      </c>
      <c r="X184" s="32">
        <f t="shared" si="5"/>
        <v>34.807162534435264</v>
      </c>
      <c r="Y184" s="32">
        <f>(CPI!$B$112/O184)*X184</f>
        <v>45.523135847875359</v>
      </c>
      <c r="Z184" s="38" t="s">
        <v>262</v>
      </c>
      <c r="AA184" s="35" t="s">
        <v>1446</v>
      </c>
      <c r="AB184" s="32">
        <v>1815</v>
      </c>
      <c r="AC184" s="32" t="s">
        <v>1446</v>
      </c>
      <c r="AH184" s="32" t="s">
        <v>411</v>
      </c>
      <c r="AK184" s="40" t="s">
        <v>536</v>
      </c>
      <c r="AL184" s="32">
        <v>2014</v>
      </c>
      <c r="AM184" s="32" t="s">
        <v>537</v>
      </c>
      <c r="AN184" s="32" t="s">
        <v>538</v>
      </c>
      <c r="AO184" s="38" t="s">
        <v>539</v>
      </c>
      <c r="AP184" s="35" t="s">
        <v>396</v>
      </c>
    </row>
    <row r="185" spans="1:42" x14ac:dyDescent="0.2">
      <c r="A185" s="40">
        <v>23</v>
      </c>
      <c r="B185" s="40">
        <v>184</v>
      </c>
      <c r="C185" s="40" t="s">
        <v>149</v>
      </c>
      <c r="D185" s="38" t="s">
        <v>148</v>
      </c>
      <c r="E185" s="32" t="s">
        <v>2184</v>
      </c>
      <c r="F185" s="32" t="s">
        <v>131</v>
      </c>
      <c r="G185" s="38" t="s">
        <v>133</v>
      </c>
      <c r="H185" s="32" t="s">
        <v>30</v>
      </c>
      <c r="I185" s="32" t="s">
        <v>243</v>
      </c>
      <c r="J185" s="32" t="s">
        <v>524</v>
      </c>
      <c r="K185" s="32" t="s">
        <v>129</v>
      </c>
      <c r="L185" s="32" t="s">
        <v>30</v>
      </c>
      <c r="M185" s="32" t="s">
        <v>30</v>
      </c>
      <c r="N185" s="40">
        <v>2013</v>
      </c>
      <c r="O185" s="32">
        <f>VLOOKUP(Data!N232, CPI!$A$2:$B$112, 2, 0)</f>
        <v>232.95699999999999</v>
      </c>
      <c r="P185" s="32" t="s">
        <v>238</v>
      </c>
      <c r="Q185" s="32" t="s">
        <v>239</v>
      </c>
      <c r="R185" s="32" t="s">
        <v>530</v>
      </c>
      <c r="S185" s="58">
        <v>409897</v>
      </c>
      <c r="T185" s="32" t="s">
        <v>300</v>
      </c>
      <c r="U185" s="32">
        <f t="shared" si="4"/>
        <v>225.83856749311295</v>
      </c>
      <c r="V185" s="32" t="s">
        <v>316</v>
      </c>
      <c r="X185" s="32">
        <f t="shared" si="5"/>
        <v>225.83856749311295</v>
      </c>
      <c r="Y185" s="32">
        <f>(CPI!$B$112/O185)*X185</f>
        <v>295.36678772673628</v>
      </c>
      <c r="Z185" s="38" t="s">
        <v>262</v>
      </c>
      <c r="AA185" s="35" t="s">
        <v>1446</v>
      </c>
      <c r="AB185" s="32">
        <v>1815</v>
      </c>
      <c r="AC185" s="32" t="s">
        <v>1446</v>
      </c>
      <c r="AH185" s="32" t="s">
        <v>411</v>
      </c>
      <c r="AK185" s="40" t="s">
        <v>536</v>
      </c>
      <c r="AL185" s="32">
        <v>2014</v>
      </c>
      <c r="AM185" s="32" t="s">
        <v>537</v>
      </c>
      <c r="AN185" s="32" t="s">
        <v>538</v>
      </c>
      <c r="AO185" s="38" t="s">
        <v>539</v>
      </c>
      <c r="AP185" s="35" t="s">
        <v>396</v>
      </c>
    </row>
    <row r="186" spans="1:42" x14ac:dyDescent="0.2">
      <c r="A186" s="40">
        <v>23</v>
      </c>
      <c r="B186" s="40">
        <v>185</v>
      </c>
      <c r="C186" s="40" t="s">
        <v>149</v>
      </c>
      <c r="D186" s="38" t="s">
        <v>148</v>
      </c>
      <c r="E186" s="32" t="s">
        <v>2887</v>
      </c>
      <c r="F186" s="32" t="s">
        <v>121</v>
      </c>
      <c r="G186" s="38" t="s">
        <v>123</v>
      </c>
      <c r="H186" s="32" t="s">
        <v>30</v>
      </c>
      <c r="I186" s="32" t="s">
        <v>243</v>
      </c>
      <c r="J186" s="32" t="s">
        <v>524</v>
      </c>
      <c r="K186" s="32" t="s">
        <v>129</v>
      </c>
      <c r="L186" s="32" t="s">
        <v>30</v>
      </c>
      <c r="M186" s="32" t="s">
        <v>30</v>
      </c>
      <c r="N186" s="40">
        <v>2013</v>
      </c>
      <c r="O186" s="32">
        <f>VLOOKUP(Data!N233, CPI!$A$2:$B$112, 2, 0)</f>
        <v>232.95699999999999</v>
      </c>
      <c r="P186" s="32" t="s">
        <v>238</v>
      </c>
      <c r="Q186" s="32" t="s">
        <v>239</v>
      </c>
      <c r="R186" s="32" t="s">
        <v>531</v>
      </c>
      <c r="S186" s="58">
        <v>37970</v>
      </c>
      <c r="T186" s="32" t="s">
        <v>300</v>
      </c>
      <c r="U186" s="32">
        <f t="shared" si="4"/>
        <v>20.920110192837466</v>
      </c>
      <c r="V186" s="32" t="s">
        <v>316</v>
      </c>
      <c r="X186" s="32">
        <f t="shared" si="5"/>
        <v>20.920110192837466</v>
      </c>
      <c r="Y186" s="32">
        <f>(CPI!$B$112/O186)*X186</f>
        <v>27.360719717353817</v>
      </c>
      <c r="Z186" s="38" t="s">
        <v>262</v>
      </c>
      <c r="AA186" s="35" t="s">
        <v>1446</v>
      </c>
      <c r="AB186" s="32">
        <v>1815</v>
      </c>
      <c r="AC186" s="32" t="s">
        <v>1446</v>
      </c>
      <c r="AH186" s="32" t="s">
        <v>411</v>
      </c>
      <c r="AK186" s="40" t="s">
        <v>536</v>
      </c>
      <c r="AL186" s="32">
        <v>2014</v>
      </c>
      <c r="AM186" s="32" t="s">
        <v>537</v>
      </c>
      <c r="AN186" s="32" t="s">
        <v>538</v>
      </c>
      <c r="AO186" s="38" t="s">
        <v>539</v>
      </c>
      <c r="AP186" s="35" t="s">
        <v>396</v>
      </c>
    </row>
    <row r="187" spans="1:42" x14ac:dyDescent="0.2">
      <c r="A187" s="40">
        <v>23</v>
      </c>
      <c r="B187" s="40">
        <v>186</v>
      </c>
      <c r="C187" s="40" t="s">
        <v>149</v>
      </c>
      <c r="D187" s="38" t="s">
        <v>148</v>
      </c>
      <c r="E187" s="32" t="s">
        <v>2186</v>
      </c>
      <c r="F187" s="32" t="s">
        <v>29</v>
      </c>
      <c r="G187" s="38" t="s">
        <v>29</v>
      </c>
      <c r="H187" s="32" t="s">
        <v>30</v>
      </c>
      <c r="I187" s="32" t="s">
        <v>243</v>
      </c>
      <c r="J187" s="32" t="s">
        <v>524</v>
      </c>
      <c r="K187" s="32" t="s">
        <v>129</v>
      </c>
      <c r="L187" s="32" t="s">
        <v>30</v>
      </c>
      <c r="M187" s="32" t="s">
        <v>30</v>
      </c>
      <c r="N187" s="40">
        <v>2013</v>
      </c>
      <c r="O187" s="32">
        <f>VLOOKUP(Data!N234, CPI!$A$2:$B$112, 2, 0)</f>
        <v>232.95699999999999</v>
      </c>
      <c r="P187" s="32" t="s">
        <v>134</v>
      </c>
      <c r="Q187" s="32" t="s">
        <v>239</v>
      </c>
      <c r="R187" s="32" t="s">
        <v>533</v>
      </c>
      <c r="S187" s="32">
        <v>1123</v>
      </c>
      <c r="T187" s="32" t="s">
        <v>316</v>
      </c>
      <c r="U187" s="32">
        <v>1123</v>
      </c>
      <c r="V187" s="32" t="s">
        <v>316</v>
      </c>
      <c r="X187" s="32">
        <f t="shared" si="5"/>
        <v>1123</v>
      </c>
      <c r="Y187" s="32">
        <f>(CPI!$B$112/O187)*X187</f>
        <v>1468.7345314800586</v>
      </c>
      <c r="Z187" s="38" t="s">
        <v>262</v>
      </c>
      <c r="AA187" s="35" t="s">
        <v>1446</v>
      </c>
      <c r="AB187" s="32">
        <v>1815</v>
      </c>
      <c r="AC187" s="32" t="s">
        <v>1446</v>
      </c>
      <c r="AH187" s="32" t="s">
        <v>411</v>
      </c>
      <c r="AK187" s="40" t="s">
        <v>536</v>
      </c>
      <c r="AL187" s="32">
        <v>2014</v>
      </c>
      <c r="AM187" s="32" t="s">
        <v>537</v>
      </c>
      <c r="AN187" s="32" t="s">
        <v>538</v>
      </c>
      <c r="AO187" s="38" t="s">
        <v>539</v>
      </c>
      <c r="AP187" s="35" t="s">
        <v>396</v>
      </c>
    </row>
    <row r="188" spans="1:42" x14ac:dyDescent="0.2">
      <c r="A188" s="40">
        <v>23</v>
      </c>
      <c r="B188" s="40">
        <v>187</v>
      </c>
      <c r="C188" s="40" t="s">
        <v>149</v>
      </c>
      <c r="D188" s="38" t="s">
        <v>148</v>
      </c>
      <c r="E188" s="32" t="s">
        <v>2186</v>
      </c>
      <c r="F188" s="32" t="s">
        <v>29</v>
      </c>
      <c r="G188" s="38" t="s">
        <v>29</v>
      </c>
      <c r="H188" s="32" t="s">
        <v>30</v>
      </c>
      <c r="I188" s="32" t="s">
        <v>243</v>
      </c>
      <c r="J188" s="32" t="s">
        <v>524</v>
      </c>
      <c r="K188" s="32" t="s">
        <v>129</v>
      </c>
      <c r="L188" s="32" t="s">
        <v>30</v>
      </c>
      <c r="M188" s="32" t="s">
        <v>30</v>
      </c>
      <c r="N188" s="40">
        <v>2013</v>
      </c>
      <c r="O188" s="32">
        <f>VLOOKUP(Data!N235, CPI!$A$2:$B$112, 2, 0)</f>
        <v>232.95699999999999</v>
      </c>
      <c r="P188" s="32" t="s">
        <v>134</v>
      </c>
      <c r="Q188" s="32" t="s">
        <v>239</v>
      </c>
      <c r="R188" s="32" t="s">
        <v>532</v>
      </c>
      <c r="S188" s="58">
        <v>2037936</v>
      </c>
      <c r="T188" s="32" t="s">
        <v>300</v>
      </c>
      <c r="U188" s="32">
        <f t="shared" ref="U188:U195" si="6">S188/AB188</f>
        <v>1122.8297520661158</v>
      </c>
      <c r="V188" s="32" t="s">
        <v>316</v>
      </c>
      <c r="X188" s="32">
        <f t="shared" si="5"/>
        <v>1122.8297520661158</v>
      </c>
      <c r="Y188" s="32">
        <f>(CPI!$B$112/O188)*X188</f>
        <v>1468.5118698421168</v>
      </c>
      <c r="Z188" s="38" t="s">
        <v>262</v>
      </c>
      <c r="AA188" s="35" t="s">
        <v>1446</v>
      </c>
      <c r="AB188" s="32">
        <v>1815</v>
      </c>
      <c r="AC188" s="32" t="s">
        <v>1446</v>
      </c>
      <c r="AH188" s="32" t="s">
        <v>411</v>
      </c>
      <c r="AK188" s="40" t="s">
        <v>536</v>
      </c>
      <c r="AL188" s="32">
        <v>2014</v>
      </c>
      <c r="AM188" s="32" t="s">
        <v>537</v>
      </c>
      <c r="AN188" s="32" t="s">
        <v>538</v>
      </c>
      <c r="AO188" s="38" t="s">
        <v>539</v>
      </c>
      <c r="AP188" s="35" t="s">
        <v>396</v>
      </c>
    </row>
    <row r="189" spans="1:42" x14ac:dyDescent="0.2">
      <c r="A189" s="40">
        <v>23</v>
      </c>
      <c r="B189" s="40">
        <v>188</v>
      </c>
      <c r="C189" s="40" t="s">
        <v>149</v>
      </c>
      <c r="D189" s="38" t="s">
        <v>148</v>
      </c>
      <c r="E189" s="32" t="s">
        <v>2186</v>
      </c>
      <c r="F189" s="32" t="s">
        <v>29</v>
      </c>
      <c r="G189" s="38" t="s">
        <v>29</v>
      </c>
      <c r="H189" s="32" t="s">
        <v>30</v>
      </c>
      <c r="I189" s="32" t="s">
        <v>243</v>
      </c>
      <c r="J189" s="32" t="s">
        <v>348</v>
      </c>
      <c r="K189" s="32" t="s">
        <v>129</v>
      </c>
      <c r="L189" s="32" t="s">
        <v>30</v>
      </c>
      <c r="M189" s="32" t="s">
        <v>30</v>
      </c>
      <c r="N189" s="40">
        <v>2013</v>
      </c>
      <c r="O189" s="32">
        <f>VLOOKUP(Data!N236, CPI!$A$2:$B$112, 2, 0)</f>
        <v>232.95699999999999</v>
      </c>
      <c r="P189" s="32" t="s">
        <v>238</v>
      </c>
      <c r="Q189" s="32" t="s">
        <v>239</v>
      </c>
      <c r="R189" s="32" t="s">
        <v>525</v>
      </c>
      <c r="S189" s="58">
        <v>49801</v>
      </c>
      <c r="T189" s="32" t="s">
        <v>300</v>
      </c>
      <c r="U189" s="32">
        <f t="shared" si="6"/>
        <v>84.123310810810807</v>
      </c>
      <c r="V189" s="32" t="s">
        <v>316</v>
      </c>
      <c r="X189" s="32">
        <f t="shared" si="5"/>
        <v>84.123310810810807</v>
      </c>
      <c r="Y189" s="32">
        <f>(CPI!$B$112/O189)*X189</f>
        <v>110.02209393612428</v>
      </c>
      <c r="Z189" s="38" t="s">
        <v>262</v>
      </c>
      <c r="AA189" s="35" t="s">
        <v>1446</v>
      </c>
      <c r="AB189" s="32">
        <v>592</v>
      </c>
      <c r="AC189" s="32" t="s">
        <v>1446</v>
      </c>
      <c r="AH189" s="32" t="s">
        <v>411</v>
      </c>
      <c r="AK189" s="40" t="s">
        <v>536</v>
      </c>
      <c r="AL189" s="32">
        <v>2014</v>
      </c>
      <c r="AM189" s="32" t="s">
        <v>537</v>
      </c>
      <c r="AN189" s="32" t="s">
        <v>538</v>
      </c>
      <c r="AO189" s="38" t="s">
        <v>539</v>
      </c>
      <c r="AP189" s="35" t="s">
        <v>396</v>
      </c>
    </row>
    <row r="190" spans="1:42" x14ac:dyDescent="0.2">
      <c r="A190" s="40">
        <v>23</v>
      </c>
      <c r="B190" s="40">
        <v>189</v>
      </c>
      <c r="C190" s="40" t="s">
        <v>149</v>
      </c>
      <c r="D190" s="38" t="s">
        <v>148</v>
      </c>
      <c r="E190" s="32" t="s">
        <v>2183</v>
      </c>
      <c r="F190" s="32" t="s">
        <v>237</v>
      </c>
      <c r="G190" s="38" t="s">
        <v>154</v>
      </c>
      <c r="H190" s="32" t="s">
        <v>30</v>
      </c>
      <c r="I190" s="32" t="s">
        <v>243</v>
      </c>
      <c r="J190" s="32" t="s">
        <v>348</v>
      </c>
      <c r="K190" s="32" t="s">
        <v>129</v>
      </c>
      <c r="L190" s="32" t="s">
        <v>30</v>
      </c>
      <c r="M190" s="32" t="s">
        <v>30</v>
      </c>
      <c r="N190" s="40">
        <v>2013</v>
      </c>
      <c r="O190" s="32">
        <f>VLOOKUP(Data!N237, CPI!$A$2:$B$112, 2, 0)</f>
        <v>232.95699999999999</v>
      </c>
      <c r="P190" s="32" t="s">
        <v>238</v>
      </c>
      <c r="Q190" s="32" t="s">
        <v>239</v>
      </c>
      <c r="R190" s="32" t="s">
        <v>526</v>
      </c>
      <c r="S190" s="58">
        <v>123378</v>
      </c>
      <c r="T190" s="32" t="s">
        <v>300</v>
      </c>
      <c r="U190" s="32">
        <f t="shared" si="6"/>
        <v>208.40878378378378</v>
      </c>
      <c r="V190" s="32" t="s">
        <v>316</v>
      </c>
      <c r="X190" s="32">
        <f t="shared" si="5"/>
        <v>208.40878378378378</v>
      </c>
      <c r="Y190" s="32">
        <f>(CPI!$B$112/O190)*X190</f>
        <v>272.5709504959969</v>
      </c>
      <c r="Z190" s="38" t="s">
        <v>262</v>
      </c>
      <c r="AA190" s="35" t="s">
        <v>1446</v>
      </c>
      <c r="AB190" s="32">
        <v>592</v>
      </c>
      <c r="AC190" s="32" t="s">
        <v>1446</v>
      </c>
      <c r="AH190" s="32" t="s">
        <v>411</v>
      </c>
      <c r="AK190" s="40" t="s">
        <v>536</v>
      </c>
      <c r="AL190" s="32">
        <v>2014</v>
      </c>
      <c r="AM190" s="32" t="s">
        <v>537</v>
      </c>
      <c r="AN190" s="32" t="s">
        <v>538</v>
      </c>
      <c r="AO190" s="38" t="s">
        <v>539</v>
      </c>
      <c r="AP190" s="35" t="s">
        <v>396</v>
      </c>
    </row>
    <row r="191" spans="1:42" x14ac:dyDescent="0.2">
      <c r="A191" s="40">
        <v>23</v>
      </c>
      <c r="B191" s="40">
        <v>190</v>
      </c>
      <c r="C191" s="40" t="s">
        <v>149</v>
      </c>
      <c r="D191" s="38" t="s">
        <v>148</v>
      </c>
      <c r="E191" s="32" t="s">
        <v>2183</v>
      </c>
      <c r="F191" s="32" t="s">
        <v>237</v>
      </c>
      <c r="G191" s="38" t="s">
        <v>154</v>
      </c>
      <c r="H191" s="32" t="s">
        <v>30</v>
      </c>
      <c r="I191" s="32" t="s">
        <v>243</v>
      </c>
      <c r="J191" s="32" t="s">
        <v>348</v>
      </c>
      <c r="K191" s="32" t="s">
        <v>129</v>
      </c>
      <c r="L191" s="32" t="s">
        <v>30</v>
      </c>
      <c r="M191" s="32" t="s">
        <v>30</v>
      </c>
      <c r="N191" s="40">
        <v>2013</v>
      </c>
      <c r="O191" s="32">
        <f>VLOOKUP(Data!N238, CPI!$A$2:$B$112, 2, 0)</f>
        <v>232.95699999999999</v>
      </c>
      <c r="P191" s="32" t="s">
        <v>238</v>
      </c>
      <c r="Q191" s="32" t="s">
        <v>239</v>
      </c>
      <c r="R191" s="32" t="s">
        <v>527</v>
      </c>
      <c r="S191" s="58">
        <v>55466</v>
      </c>
      <c r="T191" s="32" t="s">
        <v>300</v>
      </c>
      <c r="U191" s="32">
        <f t="shared" si="6"/>
        <v>93.692567567567565</v>
      </c>
      <c r="V191" s="32" t="s">
        <v>316</v>
      </c>
      <c r="X191" s="32">
        <f t="shared" si="5"/>
        <v>93.692567567567565</v>
      </c>
      <c r="Y191" s="32">
        <f>(CPI!$B$112/O191)*X191</f>
        <v>122.5374081295771</v>
      </c>
      <c r="Z191" s="38" t="s">
        <v>262</v>
      </c>
      <c r="AA191" s="35" t="s">
        <v>1446</v>
      </c>
      <c r="AB191" s="32">
        <v>592</v>
      </c>
      <c r="AC191" s="32" t="s">
        <v>1446</v>
      </c>
      <c r="AH191" s="32" t="s">
        <v>411</v>
      </c>
      <c r="AK191" s="40" t="s">
        <v>536</v>
      </c>
      <c r="AL191" s="32">
        <v>2014</v>
      </c>
      <c r="AM191" s="32" t="s">
        <v>537</v>
      </c>
      <c r="AN191" s="32" t="s">
        <v>538</v>
      </c>
      <c r="AO191" s="38" t="s">
        <v>539</v>
      </c>
      <c r="AP191" s="35" t="s">
        <v>396</v>
      </c>
    </row>
    <row r="192" spans="1:42" x14ac:dyDescent="0.2">
      <c r="A192" s="40">
        <v>23</v>
      </c>
      <c r="B192" s="40">
        <v>191</v>
      </c>
      <c r="C192" s="40" t="s">
        <v>149</v>
      </c>
      <c r="D192" s="38" t="s">
        <v>148</v>
      </c>
      <c r="E192" s="32" t="s">
        <v>2184</v>
      </c>
      <c r="F192" s="32" t="s">
        <v>145</v>
      </c>
      <c r="G192" s="38" t="s">
        <v>146</v>
      </c>
      <c r="H192" s="32" t="s">
        <v>30</v>
      </c>
      <c r="I192" s="32" t="s">
        <v>243</v>
      </c>
      <c r="J192" s="32" t="s">
        <v>348</v>
      </c>
      <c r="K192" s="32" t="s">
        <v>129</v>
      </c>
      <c r="L192" s="32" t="s">
        <v>30</v>
      </c>
      <c r="M192" s="32" t="s">
        <v>30</v>
      </c>
      <c r="N192" s="40">
        <v>2013</v>
      </c>
      <c r="O192" s="32">
        <f>VLOOKUP(Data!N239, CPI!$A$2:$B$112, 2, 0)</f>
        <v>232.95699999999999</v>
      </c>
      <c r="P192" s="32" t="s">
        <v>245</v>
      </c>
      <c r="Q192" s="32" t="s">
        <v>239</v>
      </c>
      <c r="R192" s="32" t="s">
        <v>528</v>
      </c>
      <c r="S192" s="58">
        <v>195161</v>
      </c>
      <c r="T192" s="32" t="s">
        <v>300</v>
      </c>
      <c r="U192" s="32">
        <f t="shared" si="6"/>
        <v>329.66385135135135</v>
      </c>
      <c r="V192" s="32" t="s">
        <v>316</v>
      </c>
      <c r="X192" s="32">
        <f t="shared" si="5"/>
        <v>329.66385135135135</v>
      </c>
      <c r="Y192" s="32">
        <f>(CPI!$B$112/O192)*X192</f>
        <v>431.15644012505675</v>
      </c>
      <c r="Z192" s="38" t="s">
        <v>262</v>
      </c>
      <c r="AA192" s="35" t="s">
        <v>1446</v>
      </c>
      <c r="AB192" s="32">
        <v>592</v>
      </c>
      <c r="AC192" s="32" t="s">
        <v>1446</v>
      </c>
      <c r="AH192" s="32" t="s">
        <v>411</v>
      </c>
      <c r="AK192" s="40" t="s">
        <v>536</v>
      </c>
      <c r="AL192" s="32">
        <v>2014</v>
      </c>
      <c r="AM192" s="32" t="s">
        <v>537</v>
      </c>
      <c r="AN192" s="32" t="s">
        <v>538</v>
      </c>
      <c r="AO192" s="38" t="s">
        <v>539</v>
      </c>
      <c r="AP192" s="35" t="s">
        <v>396</v>
      </c>
    </row>
    <row r="193" spans="1:42" x14ac:dyDescent="0.2">
      <c r="A193" s="40">
        <v>23</v>
      </c>
      <c r="B193" s="40">
        <v>192</v>
      </c>
      <c r="C193" s="40" t="s">
        <v>149</v>
      </c>
      <c r="D193" s="38" t="s">
        <v>148</v>
      </c>
      <c r="E193" s="32" t="s">
        <v>2184</v>
      </c>
      <c r="F193" s="32" t="s">
        <v>155</v>
      </c>
      <c r="G193" s="38" t="s">
        <v>28</v>
      </c>
      <c r="H193" s="32" t="s">
        <v>30</v>
      </c>
      <c r="I193" s="32" t="s">
        <v>243</v>
      </c>
      <c r="J193" s="32" t="s">
        <v>348</v>
      </c>
      <c r="K193" s="32" t="s">
        <v>129</v>
      </c>
      <c r="L193" s="32" t="s">
        <v>30</v>
      </c>
      <c r="M193" s="32" t="s">
        <v>30</v>
      </c>
      <c r="N193" s="40">
        <v>2013</v>
      </c>
      <c r="O193" s="32">
        <f>VLOOKUP(Data!N240, CPI!$A$2:$B$112, 2, 0)</f>
        <v>232.95699999999999</v>
      </c>
      <c r="P193" s="32" t="s">
        <v>245</v>
      </c>
      <c r="Q193" s="32" t="s">
        <v>239</v>
      </c>
      <c r="R193" s="32" t="s">
        <v>529</v>
      </c>
      <c r="S193" s="58">
        <v>40045</v>
      </c>
      <c r="T193" s="32" t="s">
        <v>300</v>
      </c>
      <c r="U193" s="32">
        <f t="shared" si="6"/>
        <v>67.643581081081081</v>
      </c>
      <c r="V193" s="32" t="s">
        <v>316</v>
      </c>
      <c r="X193" s="32">
        <f t="shared" si="5"/>
        <v>67.643581081081081</v>
      </c>
      <c r="Y193" s="32">
        <f>(CPI!$B$112/O193)*X193</f>
        <v>88.4688008608682</v>
      </c>
      <c r="Z193" s="38" t="s">
        <v>262</v>
      </c>
      <c r="AA193" s="35" t="s">
        <v>1446</v>
      </c>
      <c r="AB193" s="32">
        <v>592</v>
      </c>
      <c r="AC193" s="32" t="s">
        <v>1446</v>
      </c>
      <c r="AH193" s="32" t="s">
        <v>411</v>
      </c>
      <c r="AK193" s="40" t="s">
        <v>536</v>
      </c>
      <c r="AL193" s="32">
        <v>2014</v>
      </c>
      <c r="AM193" s="32" t="s">
        <v>537</v>
      </c>
      <c r="AN193" s="32" t="s">
        <v>538</v>
      </c>
      <c r="AO193" s="38" t="s">
        <v>539</v>
      </c>
      <c r="AP193" s="35" t="s">
        <v>396</v>
      </c>
    </row>
    <row r="194" spans="1:42" x14ac:dyDescent="0.2">
      <c r="A194" s="40">
        <v>23</v>
      </c>
      <c r="B194" s="40">
        <v>193</v>
      </c>
      <c r="C194" s="40" t="s">
        <v>149</v>
      </c>
      <c r="D194" s="38" t="s">
        <v>148</v>
      </c>
      <c r="E194" s="32" t="s">
        <v>2184</v>
      </c>
      <c r="F194" s="32" t="s">
        <v>131</v>
      </c>
      <c r="G194" s="38" t="s">
        <v>133</v>
      </c>
      <c r="H194" s="32" t="s">
        <v>30</v>
      </c>
      <c r="I194" s="32" t="s">
        <v>243</v>
      </c>
      <c r="J194" s="32" t="s">
        <v>348</v>
      </c>
      <c r="K194" s="32" t="s">
        <v>129</v>
      </c>
      <c r="L194" s="32" t="s">
        <v>30</v>
      </c>
      <c r="M194" s="32" t="s">
        <v>30</v>
      </c>
      <c r="N194" s="40">
        <v>2013</v>
      </c>
      <c r="O194" s="32">
        <f>VLOOKUP(Data!N241, CPI!$A$2:$B$112, 2, 0)</f>
        <v>270.97000000000003</v>
      </c>
      <c r="P194" s="32" t="s">
        <v>238</v>
      </c>
      <c r="Q194" s="32" t="s">
        <v>239</v>
      </c>
      <c r="R194" s="32" t="s">
        <v>530</v>
      </c>
      <c r="S194" s="58">
        <v>100115</v>
      </c>
      <c r="T194" s="32" t="s">
        <v>300</v>
      </c>
      <c r="U194" s="32">
        <f t="shared" si="6"/>
        <v>169.11317567567568</v>
      </c>
      <c r="V194" s="32" t="s">
        <v>316</v>
      </c>
      <c r="X194" s="32">
        <f t="shared" si="5"/>
        <v>169.11317567567568</v>
      </c>
      <c r="Y194" s="32">
        <f>(CPI!$B$112/O194)*X194</f>
        <v>190.14965770027649</v>
      </c>
      <c r="Z194" s="38" t="s">
        <v>262</v>
      </c>
      <c r="AA194" s="35" t="s">
        <v>1446</v>
      </c>
      <c r="AB194" s="32">
        <v>592</v>
      </c>
      <c r="AC194" s="32" t="s">
        <v>1446</v>
      </c>
      <c r="AH194" s="32" t="s">
        <v>411</v>
      </c>
      <c r="AK194" s="40" t="s">
        <v>536</v>
      </c>
      <c r="AL194" s="32">
        <v>2014</v>
      </c>
      <c r="AM194" s="32" t="s">
        <v>537</v>
      </c>
      <c r="AN194" s="32" t="s">
        <v>538</v>
      </c>
      <c r="AO194" s="38" t="s">
        <v>539</v>
      </c>
      <c r="AP194" s="35" t="s">
        <v>396</v>
      </c>
    </row>
    <row r="195" spans="1:42" x14ac:dyDescent="0.2">
      <c r="A195" s="40">
        <v>23</v>
      </c>
      <c r="B195" s="40">
        <v>194</v>
      </c>
      <c r="C195" s="40" t="s">
        <v>149</v>
      </c>
      <c r="D195" s="38" t="s">
        <v>148</v>
      </c>
      <c r="E195" s="32" t="s">
        <v>2887</v>
      </c>
      <c r="F195" s="32" t="s">
        <v>121</v>
      </c>
      <c r="G195" s="38" t="s">
        <v>123</v>
      </c>
      <c r="H195" s="32" t="s">
        <v>30</v>
      </c>
      <c r="I195" s="32" t="s">
        <v>243</v>
      </c>
      <c r="J195" s="32" t="s">
        <v>348</v>
      </c>
      <c r="K195" s="32" t="s">
        <v>129</v>
      </c>
      <c r="L195" s="32" t="s">
        <v>30</v>
      </c>
      <c r="M195" s="32" t="s">
        <v>30</v>
      </c>
      <c r="N195" s="40">
        <v>2013</v>
      </c>
      <c r="O195" s="32">
        <f>VLOOKUP(Data!N242, CPI!$A$2:$B$112, 2, 0)</f>
        <v>270.97000000000003</v>
      </c>
      <c r="P195" s="32" t="s">
        <v>238</v>
      </c>
      <c r="Q195" s="32" t="s">
        <v>239</v>
      </c>
      <c r="R195" s="32" t="s">
        <v>531</v>
      </c>
      <c r="S195" s="58">
        <v>124512</v>
      </c>
      <c r="T195" s="32" t="s">
        <v>300</v>
      </c>
      <c r="U195" s="32">
        <f t="shared" si="6"/>
        <v>210.32432432432432</v>
      </c>
      <c r="V195" s="32" t="s">
        <v>316</v>
      </c>
      <c r="X195" s="32">
        <f t="shared" si="5"/>
        <v>210.32432432432432</v>
      </c>
      <c r="Y195" s="32">
        <f>(CPI!$B$112/O195)*X195</f>
        <v>236.48718153700071</v>
      </c>
      <c r="Z195" s="38" t="s">
        <v>262</v>
      </c>
      <c r="AA195" s="35" t="s">
        <v>1446</v>
      </c>
      <c r="AB195" s="32">
        <v>592</v>
      </c>
      <c r="AC195" s="32" t="s">
        <v>1446</v>
      </c>
      <c r="AH195" s="32" t="s">
        <v>411</v>
      </c>
      <c r="AK195" s="40" t="s">
        <v>536</v>
      </c>
      <c r="AL195" s="32">
        <v>2014</v>
      </c>
      <c r="AM195" s="32" t="s">
        <v>537</v>
      </c>
      <c r="AN195" s="32" t="s">
        <v>538</v>
      </c>
      <c r="AO195" s="38" t="s">
        <v>539</v>
      </c>
      <c r="AP195" s="35" t="s">
        <v>396</v>
      </c>
    </row>
    <row r="196" spans="1:42" x14ac:dyDescent="0.2">
      <c r="A196" s="40">
        <v>23</v>
      </c>
      <c r="B196" s="40">
        <v>195</v>
      </c>
      <c r="C196" s="40" t="s">
        <v>149</v>
      </c>
      <c r="D196" s="38" t="s">
        <v>148</v>
      </c>
      <c r="E196" s="32" t="s">
        <v>2186</v>
      </c>
      <c r="F196" s="32" t="s">
        <v>29</v>
      </c>
      <c r="G196" s="38" t="s">
        <v>29</v>
      </c>
      <c r="H196" s="32" t="s">
        <v>30</v>
      </c>
      <c r="I196" s="32" t="s">
        <v>243</v>
      </c>
      <c r="J196" s="32" t="s">
        <v>348</v>
      </c>
      <c r="K196" s="32" t="s">
        <v>129</v>
      </c>
      <c r="L196" s="32" t="s">
        <v>30</v>
      </c>
      <c r="M196" s="32" t="s">
        <v>30</v>
      </c>
      <c r="N196" s="40">
        <v>2013</v>
      </c>
      <c r="O196" s="32">
        <f>VLOOKUP(Data!N243, CPI!$A$2:$B$112, 2, 0)</f>
        <v>270.97000000000003</v>
      </c>
      <c r="P196" s="32" t="s">
        <v>134</v>
      </c>
      <c r="Q196" s="32" t="s">
        <v>239</v>
      </c>
      <c r="R196" s="32" t="s">
        <v>533</v>
      </c>
      <c r="S196" s="58">
        <v>1163</v>
      </c>
      <c r="T196" s="32" t="s">
        <v>316</v>
      </c>
      <c r="U196" s="58">
        <v>1163</v>
      </c>
      <c r="V196" s="32" t="s">
        <v>316</v>
      </c>
      <c r="X196" s="32">
        <f t="shared" si="5"/>
        <v>1163</v>
      </c>
      <c r="Y196" s="32">
        <f>(CPI!$B$112/O196)*X196</f>
        <v>1307.6689679669337</v>
      </c>
      <c r="Z196" s="38" t="s">
        <v>262</v>
      </c>
      <c r="AA196" s="35" t="s">
        <v>1446</v>
      </c>
      <c r="AB196" s="32">
        <v>592</v>
      </c>
      <c r="AC196" s="32" t="s">
        <v>1446</v>
      </c>
      <c r="AH196" s="32" t="s">
        <v>411</v>
      </c>
      <c r="AK196" s="40" t="s">
        <v>536</v>
      </c>
      <c r="AL196" s="32">
        <v>2014</v>
      </c>
      <c r="AM196" s="32" t="s">
        <v>537</v>
      </c>
      <c r="AN196" s="32" t="s">
        <v>538</v>
      </c>
      <c r="AO196" s="38" t="s">
        <v>539</v>
      </c>
      <c r="AP196" s="35" t="s">
        <v>396</v>
      </c>
    </row>
    <row r="197" spans="1:42" x14ac:dyDescent="0.2">
      <c r="A197" s="40">
        <v>23</v>
      </c>
      <c r="B197" s="40">
        <v>196</v>
      </c>
      <c r="C197" s="40" t="s">
        <v>149</v>
      </c>
      <c r="D197" s="38" t="s">
        <v>148</v>
      </c>
      <c r="E197" s="32" t="s">
        <v>2186</v>
      </c>
      <c r="F197" s="32" t="s">
        <v>29</v>
      </c>
      <c r="G197" s="38" t="s">
        <v>29</v>
      </c>
      <c r="H197" s="32" t="s">
        <v>30</v>
      </c>
      <c r="I197" s="32" t="s">
        <v>243</v>
      </c>
      <c r="J197" s="32" t="s">
        <v>348</v>
      </c>
      <c r="K197" s="32" t="s">
        <v>129</v>
      </c>
      <c r="L197" s="32" t="s">
        <v>30</v>
      </c>
      <c r="M197" s="32" t="s">
        <v>30</v>
      </c>
      <c r="N197" s="40">
        <v>2013</v>
      </c>
      <c r="O197" s="32">
        <f>VLOOKUP(Data!N244, CPI!$A$2:$B$112, 2, 0)</f>
        <v>207.3</v>
      </c>
      <c r="P197" s="32" t="s">
        <v>134</v>
      </c>
      <c r="Q197" s="32" t="s">
        <v>239</v>
      </c>
      <c r="R197" s="32" t="s">
        <v>532</v>
      </c>
      <c r="S197" s="58">
        <v>688478</v>
      </c>
      <c r="T197" s="32" t="s">
        <v>300</v>
      </c>
      <c r="U197" s="32">
        <f t="shared" ref="U197:U204" si="7">S197/AB197</f>
        <v>1162.9695945945946</v>
      </c>
      <c r="V197" s="32" t="s">
        <v>316</v>
      </c>
      <c r="X197" s="32">
        <f t="shared" si="5"/>
        <v>1162.9695945945946</v>
      </c>
      <c r="Y197" s="32">
        <f>(CPI!$B$112/O197)*X197</f>
        <v>1709.2609572112817</v>
      </c>
      <c r="Z197" s="38" t="s">
        <v>262</v>
      </c>
      <c r="AA197" s="35" t="s">
        <v>1446</v>
      </c>
      <c r="AB197" s="32">
        <v>592</v>
      </c>
      <c r="AC197" s="32" t="s">
        <v>1446</v>
      </c>
      <c r="AH197" s="32" t="s">
        <v>411</v>
      </c>
      <c r="AK197" s="40" t="s">
        <v>536</v>
      </c>
      <c r="AL197" s="32">
        <v>2014</v>
      </c>
      <c r="AM197" s="32" t="s">
        <v>537</v>
      </c>
      <c r="AN197" s="32" t="s">
        <v>538</v>
      </c>
      <c r="AO197" s="38" t="s">
        <v>539</v>
      </c>
      <c r="AP197" s="35" t="s">
        <v>396</v>
      </c>
    </row>
    <row r="198" spans="1:42" x14ac:dyDescent="0.2">
      <c r="A198" s="40">
        <v>23</v>
      </c>
      <c r="B198" s="40">
        <v>197</v>
      </c>
      <c r="C198" s="40" t="s">
        <v>149</v>
      </c>
      <c r="D198" s="38" t="s">
        <v>148</v>
      </c>
      <c r="E198" s="32" t="s">
        <v>2186</v>
      </c>
      <c r="F198" s="32" t="s">
        <v>29</v>
      </c>
      <c r="G198" s="38" t="s">
        <v>29</v>
      </c>
      <c r="H198" s="32" t="s">
        <v>30</v>
      </c>
      <c r="I198" s="32" t="s">
        <v>243</v>
      </c>
      <c r="J198" s="32" t="s">
        <v>534</v>
      </c>
      <c r="K198" s="32" t="s">
        <v>129</v>
      </c>
      <c r="L198" s="32" t="s">
        <v>30</v>
      </c>
      <c r="M198" s="32" t="s">
        <v>30</v>
      </c>
      <c r="N198" s="40">
        <v>2013</v>
      </c>
      <c r="O198" s="32">
        <f>VLOOKUP(Data!N245, CPI!$A$2:$B$112, 2, 0)</f>
        <v>207.3</v>
      </c>
      <c r="P198" s="32" t="s">
        <v>238</v>
      </c>
      <c r="Q198" s="32" t="s">
        <v>239</v>
      </c>
      <c r="R198" s="32" t="s">
        <v>525</v>
      </c>
      <c r="S198" s="58">
        <v>47757</v>
      </c>
      <c r="T198" s="32" t="s">
        <v>300</v>
      </c>
      <c r="U198" s="32">
        <f t="shared" si="7"/>
        <v>28.392984542211654</v>
      </c>
      <c r="V198" s="32" t="s">
        <v>316</v>
      </c>
      <c r="X198" s="32">
        <f t="shared" si="5"/>
        <v>28.392984542211654</v>
      </c>
      <c r="Y198" s="32">
        <f>(CPI!$B$112/O198)*X198</f>
        <v>41.730256889152365</v>
      </c>
      <c r="Z198" s="38" t="s">
        <v>262</v>
      </c>
      <c r="AA198" s="35" t="s">
        <v>1446</v>
      </c>
      <c r="AB198" s="32">
        <v>1682</v>
      </c>
      <c r="AC198" s="32" t="s">
        <v>1446</v>
      </c>
      <c r="AH198" s="32" t="s">
        <v>411</v>
      </c>
      <c r="AK198" s="40" t="s">
        <v>536</v>
      </c>
      <c r="AL198" s="32">
        <v>2014</v>
      </c>
      <c r="AM198" s="32" t="s">
        <v>537</v>
      </c>
      <c r="AN198" s="32" t="s">
        <v>538</v>
      </c>
      <c r="AO198" s="38" t="s">
        <v>539</v>
      </c>
      <c r="AP198" s="35" t="s">
        <v>396</v>
      </c>
    </row>
    <row r="199" spans="1:42" x14ac:dyDescent="0.2">
      <c r="A199" s="40">
        <v>23</v>
      </c>
      <c r="B199" s="40">
        <v>198</v>
      </c>
      <c r="C199" s="40" t="s">
        <v>149</v>
      </c>
      <c r="D199" s="38" t="s">
        <v>148</v>
      </c>
      <c r="E199" s="32" t="s">
        <v>2183</v>
      </c>
      <c r="F199" s="32" t="s">
        <v>237</v>
      </c>
      <c r="G199" s="38" t="s">
        <v>154</v>
      </c>
      <c r="H199" s="32" t="s">
        <v>30</v>
      </c>
      <c r="I199" s="32" t="s">
        <v>243</v>
      </c>
      <c r="J199" s="32" t="s">
        <v>534</v>
      </c>
      <c r="K199" s="32" t="s">
        <v>129</v>
      </c>
      <c r="L199" s="32" t="s">
        <v>30</v>
      </c>
      <c r="M199" s="32" t="s">
        <v>30</v>
      </c>
      <c r="N199" s="40">
        <v>2013</v>
      </c>
      <c r="O199" s="32">
        <f>VLOOKUP(Data!N246, CPI!$A$2:$B$112, 2, 0)</f>
        <v>207.3</v>
      </c>
      <c r="P199" s="32" t="s">
        <v>238</v>
      </c>
      <c r="Q199" s="32" t="s">
        <v>239</v>
      </c>
      <c r="R199" s="32" t="s">
        <v>526</v>
      </c>
      <c r="S199" s="58">
        <v>44796</v>
      </c>
      <c r="T199" s="32" t="s">
        <v>300</v>
      </c>
      <c r="U199" s="32">
        <f t="shared" si="7"/>
        <v>26.63258026159334</v>
      </c>
      <c r="V199" s="32" t="s">
        <v>316</v>
      </c>
      <c r="X199" s="32">
        <f t="shared" si="5"/>
        <v>26.63258026159334</v>
      </c>
      <c r="Y199" s="32">
        <f>(CPI!$B$112/O199)*X199</f>
        <v>39.142923290961939</v>
      </c>
      <c r="Z199" s="38" t="s">
        <v>262</v>
      </c>
      <c r="AA199" s="35" t="s">
        <v>1446</v>
      </c>
      <c r="AB199" s="32">
        <v>1682</v>
      </c>
      <c r="AC199" s="32" t="s">
        <v>1446</v>
      </c>
      <c r="AH199" s="32" t="s">
        <v>411</v>
      </c>
      <c r="AK199" s="40" t="s">
        <v>536</v>
      </c>
      <c r="AL199" s="32">
        <v>2014</v>
      </c>
      <c r="AM199" s="32" t="s">
        <v>537</v>
      </c>
      <c r="AN199" s="32" t="s">
        <v>538</v>
      </c>
      <c r="AO199" s="38" t="s">
        <v>539</v>
      </c>
      <c r="AP199" s="35" t="s">
        <v>396</v>
      </c>
    </row>
    <row r="200" spans="1:42" x14ac:dyDescent="0.2">
      <c r="A200" s="40">
        <v>23</v>
      </c>
      <c r="B200" s="40">
        <v>199</v>
      </c>
      <c r="C200" s="40" t="s">
        <v>149</v>
      </c>
      <c r="D200" s="38" t="s">
        <v>148</v>
      </c>
      <c r="E200" s="32" t="s">
        <v>2183</v>
      </c>
      <c r="F200" s="32" t="s">
        <v>237</v>
      </c>
      <c r="G200" s="38" t="s">
        <v>154</v>
      </c>
      <c r="H200" s="32" t="s">
        <v>30</v>
      </c>
      <c r="I200" s="32" t="s">
        <v>243</v>
      </c>
      <c r="J200" s="32" t="s">
        <v>534</v>
      </c>
      <c r="K200" s="32" t="s">
        <v>129</v>
      </c>
      <c r="L200" s="32" t="s">
        <v>30</v>
      </c>
      <c r="M200" s="32" t="s">
        <v>30</v>
      </c>
      <c r="N200" s="40">
        <v>2013</v>
      </c>
      <c r="O200" s="32">
        <f>VLOOKUP(Data!N247, CPI!$A$2:$B$112, 2, 0)</f>
        <v>207.3</v>
      </c>
      <c r="P200" s="32" t="s">
        <v>238</v>
      </c>
      <c r="Q200" s="32" t="s">
        <v>239</v>
      </c>
      <c r="R200" s="32" t="s">
        <v>527</v>
      </c>
      <c r="S200" s="58">
        <v>267664</v>
      </c>
      <c r="T200" s="32" t="s">
        <v>300</v>
      </c>
      <c r="U200" s="32">
        <f t="shared" si="7"/>
        <v>159.13436385255648</v>
      </c>
      <c r="V200" s="32" t="s">
        <v>316</v>
      </c>
      <c r="X200" s="32">
        <f t="shared" si="5"/>
        <v>159.13436385255648</v>
      </c>
      <c r="Y200" s="32">
        <f>(CPI!$B$112/O200)*X200</f>
        <v>233.88586971497534</v>
      </c>
      <c r="Z200" s="38" t="s">
        <v>262</v>
      </c>
      <c r="AA200" s="35" t="s">
        <v>1446</v>
      </c>
      <c r="AB200" s="32">
        <v>1682</v>
      </c>
      <c r="AC200" s="32" t="s">
        <v>1446</v>
      </c>
      <c r="AH200" s="32" t="s">
        <v>411</v>
      </c>
      <c r="AK200" s="40" t="s">
        <v>536</v>
      </c>
      <c r="AL200" s="32">
        <v>2014</v>
      </c>
      <c r="AM200" s="32" t="s">
        <v>537</v>
      </c>
      <c r="AN200" s="32" t="s">
        <v>538</v>
      </c>
      <c r="AO200" s="38" t="s">
        <v>539</v>
      </c>
      <c r="AP200" s="35" t="s">
        <v>396</v>
      </c>
    </row>
    <row r="201" spans="1:42" x14ac:dyDescent="0.2">
      <c r="A201" s="40">
        <v>23</v>
      </c>
      <c r="B201" s="40">
        <v>200</v>
      </c>
      <c r="C201" s="40" t="s">
        <v>149</v>
      </c>
      <c r="D201" s="38" t="s">
        <v>148</v>
      </c>
      <c r="E201" s="32" t="s">
        <v>2184</v>
      </c>
      <c r="F201" s="32" t="s">
        <v>145</v>
      </c>
      <c r="G201" s="38" t="s">
        <v>146</v>
      </c>
      <c r="H201" s="32" t="s">
        <v>30</v>
      </c>
      <c r="I201" s="32" t="s">
        <v>243</v>
      </c>
      <c r="J201" s="32" t="s">
        <v>534</v>
      </c>
      <c r="K201" s="32" t="s">
        <v>129</v>
      </c>
      <c r="L201" s="32" t="s">
        <v>30</v>
      </c>
      <c r="M201" s="32" t="s">
        <v>30</v>
      </c>
      <c r="N201" s="40">
        <v>2013</v>
      </c>
      <c r="O201" s="32">
        <f>VLOOKUP(Data!N248, CPI!$A$2:$B$112, 2, 0)</f>
        <v>207.3</v>
      </c>
      <c r="P201" s="32" t="s">
        <v>245</v>
      </c>
      <c r="Q201" s="32" t="s">
        <v>239</v>
      </c>
      <c r="R201" s="32" t="s">
        <v>528</v>
      </c>
      <c r="S201" s="58">
        <v>677335</v>
      </c>
      <c r="T201" s="32" t="s">
        <v>300</v>
      </c>
      <c r="U201" s="32">
        <f t="shared" si="7"/>
        <v>402.6961950059453</v>
      </c>
      <c r="V201" s="32" t="s">
        <v>316</v>
      </c>
      <c r="X201" s="32">
        <f t="shared" si="5"/>
        <v>402.6961950059453</v>
      </c>
      <c r="Y201" s="32">
        <f>(CPI!$B$112/O201)*X201</f>
        <v>591.85802186096316</v>
      </c>
      <c r="Z201" s="38" t="s">
        <v>262</v>
      </c>
      <c r="AA201" s="35" t="s">
        <v>1446</v>
      </c>
      <c r="AB201" s="32">
        <v>1682</v>
      </c>
      <c r="AC201" s="32" t="s">
        <v>1446</v>
      </c>
      <c r="AH201" s="32" t="s">
        <v>411</v>
      </c>
      <c r="AK201" s="40" t="s">
        <v>536</v>
      </c>
      <c r="AL201" s="32">
        <v>2014</v>
      </c>
      <c r="AM201" s="32" t="s">
        <v>537</v>
      </c>
      <c r="AN201" s="32" t="s">
        <v>538</v>
      </c>
      <c r="AO201" s="38" t="s">
        <v>539</v>
      </c>
      <c r="AP201" s="35" t="s">
        <v>396</v>
      </c>
    </row>
    <row r="202" spans="1:42" x14ac:dyDescent="0.2">
      <c r="A202" s="40">
        <v>23</v>
      </c>
      <c r="B202" s="40">
        <v>201</v>
      </c>
      <c r="C202" s="40" t="s">
        <v>149</v>
      </c>
      <c r="D202" s="38" t="s">
        <v>148</v>
      </c>
      <c r="E202" s="32" t="s">
        <v>2184</v>
      </c>
      <c r="F202" s="32" t="s">
        <v>155</v>
      </c>
      <c r="G202" s="38" t="s">
        <v>28</v>
      </c>
      <c r="H202" s="32" t="s">
        <v>30</v>
      </c>
      <c r="I202" s="32" t="s">
        <v>243</v>
      </c>
      <c r="J202" s="32" t="s">
        <v>534</v>
      </c>
      <c r="K202" s="32" t="s">
        <v>129</v>
      </c>
      <c r="L202" s="32" t="s">
        <v>30</v>
      </c>
      <c r="M202" s="32" t="s">
        <v>30</v>
      </c>
      <c r="N202" s="40">
        <v>2013</v>
      </c>
      <c r="O202" s="32">
        <f>VLOOKUP(Data!N249, CPI!$A$2:$B$112, 2, 0)</f>
        <v>207.3</v>
      </c>
      <c r="P202" s="32" t="s">
        <v>245</v>
      </c>
      <c r="Q202" s="32" t="s">
        <v>239</v>
      </c>
      <c r="R202" s="32" t="s">
        <v>529</v>
      </c>
      <c r="S202" s="58">
        <v>73561</v>
      </c>
      <c r="T202" s="32" t="s">
        <v>300</v>
      </c>
      <c r="U202" s="32">
        <f t="shared" si="7"/>
        <v>43.734244946492268</v>
      </c>
      <c r="V202" s="32" t="s">
        <v>316</v>
      </c>
      <c r="X202" s="32">
        <f t="shared" si="5"/>
        <v>43.734244946492268</v>
      </c>
      <c r="Y202" s="32">
        <f>(CPI!$B$112/O202)*X202</f>
        <v>64.277894905939164</v>
      </c>
      <c r="Z202" s="38" t="s">
        <v>262</v>
      </c>
      <c r="AA202" s="35" t="s">
        <v>1446</v>
      </c>
      <c r="AB202" s="32">
        <v>1682</v>
      </c>
      <c r="AC202" s="32" t="s">
        <v>1446</v>
      </c>
      <c r="AH202" s="32" t="s">
        <v>411</v>
      </c>
      <c r="AK202" s="40" t="s">
        <v>536</v>
      </c>
      <c r="AL202" s="32">
        <v>2014</v>
      </c>
      <c r="AM202" s="32" t="s">
        <v>537</v>
      </c>
      <c r="AN202" s="32" t="s">
        <v>538</v>
      </c>
      <c r="AO202" s="38" t="s">
        <v>539</v>
      </c>
      <c r="AP202" s="35" t="s">
        <v>396</v>
      </c>
    </row>
    <row r="203" spans="1:42" x14ac:dyDescent="0.2">
      <c r="A203" s="40">
        <v>23</v>
      </c>
      <c r="B203" s="40">
        <v>202</v>
      </c>
      <c r="C203" s="40" t="s">
        <v>149</v>
      </c>
      <c r="D203" s="38" t="s">
        <v>148</v>
      </c>
      <c r="E203" s="32" t="s">
        <v>2184</v>
      </c>
      <c r="F203" s="32" t="s">
        <v>131</v>
      </c>
      <c r="G203" s="38" t="s">
        <v>133</v>
      </c>
      <c r="H203" s="32" t="s">
        <v>30</v>
      </c>
      <c r="I203" s="32" t="s">
        <v>243</v>
      </c>
      <c r="J203" s="32" t="s">
        <v>534</v>
      </c>
      <c r="K203" s="32" t="s">
        <v>129</v>
      </c>
      <c r="L203" s="32" t="s">
        <v>30</v>
      </c>
      <c r="M203" s="32" t="s">
        <v>30</v>
      </c>
      <c r="N203" s="40">
        <v>2013</v>
      </c>
      <c r="O203" s="32">
        <f>VLOOKUP(Data!N250, CPI!$A$2:$B$112, 2, 0)</f>
        <v>207.3</v>
      </c>
      <c r="P203" s="32" t="s">
        <v>238</v>
      </c>
      <c r="Q203" s="32" t="s">
        <v>239</v>
      </c>
      <c r="R203" s="32" t="s">
        <v>530</v>
      </c>
      <c r="S203" s="58">
        <v>231159</v>
      </c>
      <c r="T203" s="32" t="s">
        <v>300</v>
      </c>
      <c r="U203" s="32">
        <f t="shared" si="7"/>
        <v>137.43103448275863</v>
      </c>
      <c r="V203" s="32" t="s">
        <v>316</v>
      </c>
      <c r="X203" s="32">
        <f t="shared" si="5"/>
        <v>137.43103448275863</v>
      </c>
      <c r="Y203" s="32">
        <f>(CPI!$B$112/O203)*X203</f>
        <v>201.98765525974355</v>
      </c>
      <c r="Z203" s="38" t="s">
        <v>262</v>
      </c>
      <c r="AA203" s="35" t="s">
        <v>1446</v>
      </c>
      <c r="AB203" s="32">
        <v>1682</v>
      </c>
      <c r="AC203" s="32" t="s">
        <v>1446</v>
      </c>
      <c r="AH203" s="32" t="s">
        <v>411</v>
      </c>
      <c r="AK203" s="40" t="s">
        <v>536</v>
      </c>
      <c r="AL203" s="32">
        <v>2014</v>
      </c>
      <c r="AM203" s="32" t="s">
        <v>537</v>
      </c>
      <c r="AN203" s="32" t="s">
        <v>538</v>
      </c>
      <c r="AO203" s="38" t="s">
        <v>539</v>
      </c>
      <c r="AP203" s="35" t="s">
        <v>396</v>
      </c>
    </row>
    <row r="204" spans="1:42" x14ac:dyDescent="0.2">
      <c r="A204" s="40">
        <v>23</v>
      </c>
      <c r="B204" s="40">
        <v>203</v>
      </c>
      <c r="C204" s="40" t="s">
        <v>149</v>
      </c>
      <c r="D204" s="38" t="s">
        <v>148</v>
      </c>
      <c r="E204" s="32" t="s">
        <v>2887</v>
      </c>
      <c r="F204" s="32" t="s">
        <v>121</v>
      </c>
      <c r="G204" s="38" t="s">
        <v>123</v>
      </c>
      <c r="H204" s="32" t="s">
        <v>30</v>
      </c>
      <c r="I204" s="32" t="s">
        <v>243</v>
      </c>
      <c r="J204" s="32" t="s">
        <v>534</v>
      </c>
      <c r="K204" s="32" t="s">
        <v>129</v>
      </c>
      <c r="L204" s="32" t="s">
        <v>30</v>
      </c>
      <c r="M204" s="32" t="s">
        <v>30</v>
      </c>
      <c r="N204" s="40">
        <v>2013</v>
      </c>
      <c r="O204" s="32">
        <f>VLOOKUP(Data!N251, CPI!$A$2:$B$112, 2, 0)</f>
        <v>215.303</v>
      </c>
      <c r="P204" s="32" t="s">
        <v>238</v>
      </c>
      <c r="Q204" s="32" t="s">
        <v>239</v>
      </c>
      <c r="R204" s="32" t="s">
        <v>531</v>
      </c>
      <c r="S204" s="58">
        <v>16903</v>
      </c>
      <c r="T204" s="32" t="s">
        <v>300</v>
      </c>
      <c r="U204" s="32">
        <f t="shared" si="7"/>
        <v>10.049346016646849</v>
      </c>
      <c r="V204" s="32" t="s">
        <v>316</v>
      </c>
      <c r="X204" s="32">
        <f t="shared" si="5"/>
        <v>10.049346016646849</v>
      </c>
      <c r="Y204" s="32">
        <f>(CPI!$B$112/O204)*X204</f>
        <v>14.220898380317079</v>
      </c>
      <c r="Z204" s="38" t="s">
        <v>262</v>
      </c>
      <c r="AA204" s="35" t="s">
        <v>1446</v>
      </c>
      <c r="AB204" s="32">
        <v>1682</v>
      </c>
      <c r="AC204" s="32" t="s">
        <v>1446</v>
      </c>
      <c r="AH204" s="32" t="s">
        <v>411</v>
      </c>
      <c r="AK204" s="40" t="s">
        <v>536</v>
      </c>
      <c r="AL204" s="32">
        <v>2014</v>
      </c>
      <c r="AM204" s="32" t="s">
        <v>537</v>
      </c>
      <c r="AN204" s="32" t="s">
        <v>538</v>
      </c>
      <c r="AO204" s="38" t="s">
        <v>539</v>
      </c>
      <c r="AP204" s="35" t="s">
        <v>396</v>
      </c>
    </row>
    <row r="205" spans="1:42" x14ac:dyDescent="0.2">
      <c r="A205" s="40">
        <v>23</v>
      </c>
      <c r="B205" s="40">
        <v>204</v>
      </c>
      <c r="C205" s="40" t="s">
        <v>149</v>
      </c>
      <c r="D205" s="38" t="s">
        <v>148</v>
      </c>
      <c r="E205" s="32" t="s">
        <v>2186</v>
      </c>
      <c r="F205" s="32" t="s">
        <v>29</v>
      </c>
      <c r="G205" s="35" t="s">
        <v>29</v>
      </c>
      <c r="H205" s="32" t="s">
        <v>30</v>
      </c>
      <c r="I205" s="32" t="s">
        <v>243</v>
      </c>
      <c r="J205" s="32" t="s">
        <v>534</v>
      </c>
      <c r="K205" s="32" t="s">
        <v>129</v>
      </c>
      <c r="L205" s="32" t="s">
        <v>30</v>
      </c>
      <c r="M205" s="32" t="s">
        <v>30</v>
      </c>
      <c r="N205" s="40">
        <v>2013</v>
      </c>
      <c r="O205" s="32">
        <f>VLOOKUP(Data!N252, CPI!$A$2:$B$112, 2, 0)</f>
        <v>215.303</v>
      </c>
      <c r="P205" s="32" t="s">
        <v>134</v>
      </c>
      <c r="Q205" s="32" t="s">
        <v>239</v>
      </c>
      <c r="R205" s="32" t="s">
        <v>533</v>
      </c>
      <c r="S205" s="58">
        <v>1682</v>
      </c>
      <c r="T205" s="32" t="s">
        <v>316</v>
      </c>
      <c r="U205" s="58">
        <v>1682</v>
      </c>
      <c r="V205" s="32" t="s">
        <v>316</v>
      </c>
      <c r="X205" s="32">
        <f t="shared" si="5"/>
        <v>1682</v>
      </c>
      <c r="Y205" s="32">
        <f>(CPI!$B$112/O205)*X205</f>
        <v>2380.2097207191728</v>
      </c>
      <c r="Z205" s="38" t="s">
        <v>262</v>
      </c>
      <c r="AA205" s="35" t="s">
        <v>1446</v>
      </c>
      <c r="AB205" s="32">
        <v>1682</v>
      </c>
      <c r="AC205" s="32" t="s">
        <v>1446</v>
      </c>
      <c r="AH205" s="32" t="s">
        <v>411</v>
      </c>
      <c r="AK205" s="40" t="s">
        <v>536</v>
      </c>
      <c r="AL205" s="32">
        <v>2014</v>
      </c>
      <c r="AM205" s="32" t="s">
        <v>537</v>
      </c>
      <c r="AN205" s="32" t="s">
        <v>538</v>
      </c>
      <c r="AO205" s="38" t="s">
        <v>539</v>
      </c>
      <c r="AP205" s="35" t="s">
        <v>396</v>
      </c>
    </row>
    <row r="206" spans="1:42" x14ac:dyDescent="0.2">
      <c r="A206" s="40">
        <v>23</v>
      </c>
      <c r="B206" s="40">
        <v>205</v>
      </c>
      <c r="C206" s="40" t="s">
        <v>149</v>
      </c>
      <c r="D206" s="38" t="s">
        <v>148</v>
      </c>
      <c r="E206" s="32" t="s">
        <v>2186</v>
      </c>
      <c r="F206" s="32" t="s">
        <v>29</v>
      </c>
      <c r="G206" s="38" t="s">
        <v>29</v>
      </c>
      <c r="H206" s="32" t="s">
        <v>30</v>
      </c>
      <c r="I206" s="32" t="s">
        <v>243</v>
      </c>
      <c r="J206" s="32" t="s">
        <v>534</v>
      </c>
      <c r="K206" s="32" t="s">
        <v>129</v>
      </c>
      <c r="L206" s="32" t="s">
        <v>30</v>
      </c>
      <c r="M206" s="32" t="s">
        <v>30</v>
      </c>
      <c r="N206" s="40">
        <v>2013</v>
      </c>
      <c r="O206" s="32">
        <f>VLOOKUP(Data!N253, CPI!$A$2:$B$112, 2, 0)</f>
        <v>207.3</v>
      </c>
      <c r="P206" s="32" t="s">
        <v>134</v>
      </c>
      <c r="Q206" s="32" t="s">
        <v>239</v>
      </c>
      <c r="R206" s="32" t="s">
        <v>532</v>
      </c>
      <c r="S206" s="58">
        <v>1359177</v>
      </c>
      <c r="T206" s="32" t="s">
        <v>300</v>
      </c>
      <c r="U206" s="32">
        <f t="shared" ref="U206:U213" si="8">S206/AB206</f>
        <v>808.0719381688466</v>
      </c>
      <c r="V206" s="32" t="s">
        <v>316</v>
      </c>
      <c r="X206" s="32">
        <f t="shared" si="5"/>
        <v>808.0719381688466</v>
      </c>
      <c r="Y206" s="32">
        <f>(CPI!$B$112/O206)*X206</f>
        <v>1187.6542782801985</v>
      </c>
      <c r="Z206" s="38" t="s">
        <v>262</v>
      </c>
      <c r="AA206" s="35" t="s">
        <v>1446</v>
      </c>
      <c r="AB206" s="32">
        <v>1682</v>
      </c>
      <c r="AC206" s="32" t="s">
        <v>1446</v>
      </c>
      <c r="AH206" s="32" t="s">
        <v>411</v>
      </c>
      <c r="AK206" s="40" t="s">
        <v>536</v>
      </c>
      <c r="AL206" s="32">
        <v>2014</v>
      </c>
      <c r="AM206" s="32" t="s">
        <v>537</v>
      </c>
      <c r="AN206" s="32" t="s">
        <v>538</v>
      </c>
      <c r="AO206" s="38" t="s">
        <v>539</v>
      </c>
      <c r="AP206" s="35" t="s">
        <v>396</v>
      </c>
    </row>
    <row r="207" spans="1:42" x14ac:dyDescent="0.2">
      <c r="A207" s="40">
        <v>23</v>
      </c>
      <c r="B207" s="40">
        <v>206</v>
      </c>
      <c r="C207" s="40" t="s">
        <v>149</v>
      </c>
      <c r="D207" s="38" t="s">
        <v>148</v>
      </c>
      <c r="E207" s="32" t="s">
        <v>2186</v>
      </c>
      <c r="F207" s="32" t="s">
        <v>29</v>
      </c>
      <c r="G207" s="38" t="s">
        <v>29</v>
      </c>
      <c r="H207" s="32" t="s">
        <v>30</v>
      </c>
      <c r="I207" s="32" t="s">
        <v>243</v>
      </c>
      <c r="J207" s="32" t="s">
        <v>535</v>
      </c>
      <c r="K207" s="32" t="s">
        <v>129</v>
      </c>
      <c r="L207" s="32" t="s">
        <v>30</v>
      </c>
      <c r="M207" s="32" t="s">
        <v>30</v>
      </c>
      <c r="N207" s="40">
        <v>2013</v>
      </c>
      <c r="O207" s="32">
        <f>VLOOKUP(Data!N254, CPI!$A$2:$B$112, 2, 0)</f>
        <v>207.3</v>
      </c>
      <c r="P207" s="32" t="s">
        <v>238</v>
      </c>
      <c r="Q207" s="32" t="s">
        <v>239</v>
      </c>
      <c r="R207" s="32" t="s">
        <v>525</v>
      </c>
      <c r="S207" s="58">
        <v>289378</v>
      </c>
      <c r="T207" s="32" t="s">
        <v>300</v>
      </c>
      <c r="U207" s="32">
        <f t="shared" si="8"/>
        <v>283.14872798434442</v>
      </c>
      <c r="V207" s="32" t="s">
        <v>316</v>
      </c>
      <c r="X207" s="32">
        <f t="shared" si="5"/>
        <v>283.14872798434442</v>
      </c>
      <c r="Y207" s="32">
        <f>(CPI!$B$112/O207)*X207</f>
        <v>416.15453067488721</v>
      </c>
      <c r="Z207" s="38" t="s">
        <v>262</v>
      </c>
      <c r="AA207" s="35" t="s">
        <v>1446</v>
      </c>
      <c r="AB207" s="32">
        <v>1022</v>
      </c>
      <c r="AC207" s="32" t="s">
        <v>1446</v>
      </c>
      <c r="AH207" s="32" t="s">
        <v>411</v>
      </c>
      <c r="AK207" s="40" t="s">
        <v>536</v>
      </c>
      <c r="AL207" s="32">
        <v>2014</v>
      </c>
      <c r="AM207" s="32" t="s">
        <v>537</v>
      </c>
      <c r="AN207" s="32" t="s">
        <v>538</v>
      </c>
      <c r="AO207" s="38" t="s">
        <v>539</v>
      </c>
      <c r="AP207" s="35" t="s">
        <v>396</v>
      </c>
    </row>
    <row r="208" spans="1:42" x14ac:dyDescent="0.2">
      <c r="A208" s="40">
        <v>23</v>
      </c>
      <c r="B208" s="40">
        <v>207</v>
      </c>
      <c r="C208" s="40" t="s">
        <v>149</v>
      </c>
      <c r="D208" s="38" t="s">
        <v>148</v>
      </c>
      <c r="E208" s="32" t="s">
        <v>2183</v>
      </c>
      <c r="F208" s="32" t="s">
        <v>237</v>
      </c>
      <c r="G208" s="38" t="s">
        <v>154</v>
      </c>
      <c r="H208" s="32" t="s">
        <v>30</v>
      </c>
      <c r="I208" s="32" t="s">
        <v>243</v>
      </c>
      <c r="J208" s="32" t="s">
        <v>535</v>
      </c>
      <c r="K208" s="32" t="s">
        <v>129</v>
      </c>
      <c r="L208" s="32" t="s">
        <v>30</v>
      </c>
      <c r="M208" s="32" t="s">
        <v>30</v>
      </c>
      <c r="N208" s="40">
        <v>2013</v>
      </c>
      <c r="O208" s="32">
        <f>VLOOKUP(Data!N255, CPI!$A$2:$B$112, 2, 0)</f>
        <v>245.12</v>
      </c>
      <c r="P208" s="32" t="s">
        <v>238</v>
      </c>
      <c r="Q208" s="32" t="s">
        <v>239</v>
      </c>
      <c r="R208" s="32" t="s">
        <v>526</v>
      </c>
      <c r="S208" s="58">
        <v>253826</v>
      </c>
      <c r="T208" s="32" t="s">
        <v>300</v>
      </c>
      <c r="U208" s="32">
        <f t="shared" si="8"/>
        <v>248.36203522504891</v>
      </c>
      <c r="V208" s="32" t="s">
        <v>316</v>
      </c>
      <c r="X208" s="32">
        <f t="shared" si="5"/>
        <v>248.36203522504891</v>
      </c>
      <c r="Y208" s="32">
        <f>(CPI!$B$112/O208)*X208</f>
        <v>308.70650177771466</v>
      </c>
      <c r="Z208" s="38" t="s">
        <v>262</v>
      </c>
      <c r="AA208" s="35" t="s">
        <v>1446</v>
      </c>
      <c r="AB208" s="32">
        <v>1022</v>
      </c>
      <c r="AC208" s="32" t="s">
        <v>1446</v>
      </c>
      <c r="AH208" s="32" t="s">
        <v>411</v>
      </c>
      <c r="AK208" s="40" t="s">
        <v>536</v>
      </c>
      <c r="AL208" s="32">
        <v>2014</v>
      </c>
      <c r="AM208" s="32" t="s">
        <v>537</v>
      </c>
      <c r="AN208" s="32" t="s">
        <v>538</v>
      </c>
      <c r="AO208" s="38" t="s">
        <v>539</v>
      </c>
      <c r="AP208" s="35" t="s">
        <v>396</v>
      </c>
    </row>
    <row r="209" spans="1:42" x14ac:dyDescent="0.2">
      <c r="A209" s="40">
        <v>23</v>
      </c>
      <c r="B209" s="40">
        <v>208</v>
      </c>
      <c r="C209" s="40" t="s">
        <v>149</v>
      </c>
      <c r="D209" s="38" t="s">
        <v>148</v>
      </c>
      <c r="E209" s="32" t="s">
        <v>2183</v>
      </c>
      <c r="F209" s="32" t="s">
        <v>237</v>
      </c>
      <c r="G209" s="38" t="s">
        <v>154</v>
      </c>
      <c r="H209" s="32" t="s">
        <v>30</v>
      </c>
      <c r="I209" s="32" t="s">
        <v>243</v>
      </c>
      <c r="J209" s="32" t="s">
        <v>535</v>
      </c>
      <c r="K209" s="32" t="s">
        <v>129</v>
      </c>
      <c r="L209" s="32" t="s">
        <v>30</v>
      </c>
      <c r="M209" s="32" t="s">
        <v>30</v>
      </c>
      <c r="N209" s="40">
        <v>2013</v>
      </c>
      <c r="O209" s="32">
        <f>VLOOKUP(Data!N256, CPI!$A$2:$B$112, 2, 0)</f>
        <v>245.12</v>
      </c>
      <c r="P209" s="32" t="s">
        <v>238</v>
      </c>
      <c r="Q209" s="32" t="s">
        <v>239</v>
      </c>
      <c r="R209" s="32" t="s">
        <v>527</v>
      </c>
      <c r="S209" s="58">
        <v>310541</v>
      </c>
      <c r="T209" s="32" t="s">
        <v>300</v>
      </c>
      <c r="U209" s="32">
        <f t="shared" si="8"/>
        <v>303.85616438356163</v>
      </c>
      <c r="V209" s="32" t="s">
        <v>316</v>
      </c>
      <c r="X209" s="32">
        <f t="shared" si="5"/>
        <v>303.85616438356163</v>
      </c>
      <c r="Y209" s="32">
        <f>(CPI!$B$112/O209)*X209</f>
        <v>377.68402672915028</v>
      </c>
      <c r="Z209" s="38" t="s">
        <v>262</v>
      </c>
      <c r="AA209" s="35" t="s">
        <v>1446</v>
      </c>
      <c r="AB209" s="32">
        <v>1022</v>
      </c>
      <c r="AC209" s="32" t="s">
        <v>1446</v>
      </c>
      <c r="AH209" s="32" t="s">
        <v>411</v>
      </c>
      <c r="AK209" s="40" t="s">
        <v>536</v>
      </c>
      <c r="AL209" s="32">
        <v>2014</v>
      </c>
      <c r="AM209" s="32" t="s">
        <v>537</v>
      </c>
      <c r="AN209" s="32" t="s">
        <v>538</v>
      </c>
      <c r="AO209" s="38" t="s">
        <v>539</v>
      </c>
      <c r="AP209" s="35" t="s">
        <v>396</v>
      </c>
    </row>
    <row r="210" spans="1:42" x14ac:dyDescent="0.2">
      <c r="A210" s="40">
        <v>23</v>
      </c>
      <c r="B210" s="40">
        <v>209</v>
      </c>
      <c r="C210" s="40" t="s">
        <v>149</v>
      </c>
      <c r="D210" s="38" t="s">
        <v>148</v>
      </c>
      <c r="E210" s="32" t="s">
        <v>2184</v>
      </c>
      <c r="F210" s="32" t="s">
        <v>145</v>
      </c>
      <c r="G210" s="38" t="s">
        <v>146</v>
      </c>
      <c r="H210" s="32" t="s">
        <v>30</v>
      </c>
      <c r="I210" s="32" t="s">
        <v>243</v>
      </c>
      <c r="J210" s="32" t="s">
        <v>535</v>
      </c>
      <c r="K210" s="32" t="s">
        <v>129</v>
      </c>
      <c r="L210" s="32" t="s">
        <v>30</v>
      </c>
      <c r="M210" s="32" t="s">
        <v>30</v>
      </c>
      <c r="N210" s="40">
        <v>2013</v>
      </c>
      <c r="O210" s="32">
        <f>VLOOKUP(Data!N257, CPI!$A$2:$B$112, 2, 0)</f>
        <v>245.12</v>
      </c>
      <c r="P210" s="32" t="s">
        <v>245</v>
      </c>
      <c r="Q210" s="32" t="s">
        <v>239</v>
      </c>
      <c r="R210" s="32" t="s">
        <v>528</v>
      </c>
      <c r="S210" s="58">
        <v>827770</v>
      </c>
      <c r="T210" s="32" t="s">
        <v>300</v>
      </c>
      <c r="U210" s="32">
        <f t="shared" si="8"/>
        <v>809.95107632093936</v>
      </c>
      <c r="V210" s="32" t="s">
        <v>316</v>
      </c>
      <c r="X210" s="32">
        <f t="shared" ref="X210:X245" si="9">U210</f>
        <v>809.95107632093936</v>
      </c>
      <c r="Y210" s="32">
        <f>(CPI!$B$112/O210)*X210</f>
        <v>1006.7447029718741</v>
      </c>
      <c r="Z210" s="38" t="s">
        <v>262</v>
      </c>
      <c r="AA210" s="35" t="s">
        <v>1446</v>
      </c>
      <c r="AB210" s="32">
        <v>1022</v>
      </c>
      <c r="AC210" s="32" t="s">
        <v>1446</v>
      </c>
      <c r="AH210" s="32" t="s">
        <v>411</v>
      </c>
      <c r="AK210" s="40" t="s">
        <v>536</v>
      </c>
      <c r="AL210" s="32">
        <v>2014</v>
      </c>
      <c r="AM210" s="32" t="s">
        <v>537</v>
      </c>
      <c r="AN210" s="32" t="s">
        <v>538</v>
      </c>
      <c r="AO210" s="38" t="s">
        <v>539</v>
      </c>
      <c r="AP210" s="35" t="s">
        <v>396</v>
      </c>
    </row>
    <row r="211" spans="1:42" x14ac:dyDescent="0.2">
      <c r="A211" s="40">
        <v>23</v>
      </c>
      <c r="B211" s="40">
        <v>210</v>
      </c>
      <c r="C211" s="40" t="s">
        <v>149</v>
      </c>
      <c r="D211" s="38" t="s">
        <v>148</v>
      </c>
      <c r="E211" s="32" t="s">
        <v>2184</v>
      </c>
      <c r="F211" s="32" t="s">
        <v>155</v>
      </c>
      <c r="G211" s="38" t="s">
        <v>28</v>
      </c>
      <c r="H211" s="32" t="s">
        <v>30</v>
      </c>
      <c r="I211" s="32" t="s">
        <v>243</v>
      </c>
      <c r="J211" s="32" t="s">
        <v>535</v>
      </c>
      <c r="K211" s="32" t="s">
        <v>129</v>
      </c>
      <c r="L211" s="32" t="s">
        <v>30</v>
      </c>
      <c r="M211" s="32" t="s">
        <v>30</v>
      </c>
      <c r="N211" s="40">
        <v>2013</v>
      </c>
      <c r="O211" s="32">
        <f>VLOOKUP(Data!N258, CPI!$A$2:$B$112, 2, 0)</f>
        <v>245.12</v>
      </c>
      <c r="P211" s="32" t="s">
        <v>245</v>
      </c>
      <c r="Q211" s="32" t="s">
        <v>239</v>
      </c>
      <c r="R211" s="32" t="s">
        <v>529</v>
      </c>
      <c r="S211" s="58">
        <v>15725</v>
      </c>
      <c r="T211" s="32" t="s">
        <v>300</v>
      </c>
      <c r="U211" s="32">
        <f t="shared" si="8"/>
        <v>15.386497064579256</v>
      </c>
      <c r="V211" s="32" t="s">
        <v>316</v>
      </c>
      <c r="X211" s="32">
        <f t="shared" si="9"/>
        <v>15.386497064579256</v>
      </c>
      <c r="Y211" s="32">
        <f>(CPI!$B$112/O211)*X211</f>
        <v>19.124950716059676</v>
      </c>
      <c r="Z211" s="38" t="s">
        <v>262</v>
      </c>
      <c r="AA211" s="35" t="s">
        <v>1446</v>
      </c>
      <c r="AB211" s="32">
        <v>1022</v>
      </c>
      <c r="AC211" s="32" t="s">
        <v>1446</v>
      </c>
      <c r="AH211" s="32" t="s">
        <v>411</v>
      </c>
      <c r="AK211" s="40" t="s">
        <v>536</v>
      </c>
      <c r="AL211" s="32">
        <v>2014</v>
      </c>
      <c r="AM211" s="32" t="s">
        <v>537</v>
      </c>
      <c r="AN211" s="32" t="s">
        <v>538</v>
      </c>
      <c r="AO211" s="38" t="s">
        <v>539</v>
      </c>
      <c r="AP211" s="35" t="s">
        <v>396</v>
      </c>
    </row>
    <row r="212" spans="1:42" x14ac:dyDescent="0.2">
      <c r="A212" s="40">
        <v>23</v>
      </c>
      <c r="B212" s="40">
        <v>211</v>
      </c>
      <c r="C212" s="40" t="s">
        <v>149</v>
      </c>
      <c r="D212" s="38" t="s">
        <v>148</v>
      </c>
      <c r="E212" s="32" t="s">
        <v>2184</v>
      </c>
      <c r="F212" s="32" t="s">
        <v>131</v>
      </c>
      <c r="G212" s="38" t="s">
        <v>133</v>
      </c>
      <c r="H212" s="32" t="s">
        <v>30</v>
      </c>
      <c r="I212" s="32" t="s">
        <v>243</v>
      </c>
      <c r="J212" s="32" t="s">
        <v>535</v>
      </c>
      <c r="K212" s="32" t="s">
        <v>129</v>
      </c>
      <c r="L212" s="32" t="s">
        <v>30</v>
      </c>
      <c r="M212" s="32" t="s">
        <v>30</v>
      </c>
      <c r="N212" s="40">
        <v>2013</v>
      </c>
      <c r="O212" s="32">
        <f>VLOOKUP(Data!N259, CPI!$A$2:$B$112, 2, 0)</f>
        <v>201.6</v>
      </c>
      <c r="P212" s="32" t="s">
        <v>238</v>
      </c>
      <c r="Q212" s="32" t="s">
        <v>239</v>
      </c>
      <c r="R212" s="32" t="s">
        <v>530</v>
      </c>
      <c r="S212" s="58">
        <v>656126</v>
      </c>
      <c r="T212" s="32" t="s">
        <v>300</v>
      </c>
      <c r="U212" s="32">
        <f t="shared" si="8"/>
        <v>642.0019569471624</v>
      </c>
      <c r="V212" s="32" t="s">
        <v>316</v>
      </c>
      <c r="X212" s="32">
        <f t="shared" si="9"/>
        <v>642.0019569471624</v>
      </c>
      <c r="Y212" s="32">
        <f>(CPI!$B$112/O212)*X212</f>
        <v>970.25332210466956</v>
      </c>
      <c r="Z212" s="38" t="s">
        <v>262</v>
      </c>
      <c r="AA212" s="35" t="s">
        <v>1446</v>
      </c>
      <c r="AB212" s="32">
        <v>1022</v>
      </c>
      <c r="AC212" s="32" t="s">
        <v>1446</v>
      </c>
      <c r="AH212" s="32" t="s">
        <v>411</v>
      </c>
      <c r="AK212" s="40" t="s">
        <v>536</v>
      </c>
      <c r="AL212" s="32">
        <v>2014</v>
      </c>
      <c r="AM212" s="32" t="s">
        <v>537</v>
      </c>
      <c r="AN212" s="32" t="s">
        <v>538</v>
      </c>
      <c r="AO212" s="38" t="s">
        <v>539</v>
      </c>
      <c r="AP212" s="35" t="s">
        <v>396</v>
      </c>
    </row>
    <row r="213" spans="1:42" x14ac:dyDescent="0.2">
      <c r="A213" s="40">
        <v>23</v>
      </c>
      <c r="B213" s="40">
        <v>212</v>
      </c>
      <c r="C213" s="40" t="s">
        <v>149</v>
      </c>
      <c r="D213" s="38" t="s">
        <v>148</v>
      </c>
      <c r="E213" s="32" t="s">
        <v>2887</v>
      </c>
      <c r="F213" s="32" t="s">
        <v>121</v>
      </c>
      <c r="G213" s="38" t="s">
        <v>123</v>
      </c>
      <c r="H213" s="32" t="s">
        <v>30</v>
      </c>
      <c r="I213" s="32" t="s">
        <v>243</v>
      </c>
      <c r="J213" s="32" t="s">
        <v>535</v>
      </c>
      <c r="K213" s="32" t="s">
        <v>129</v>
      </c>
      <c r="L213" s="32" t="s">
        <v>30</v>
      </c>
      <c r="M213" s="32" t="s">
        <v>30</v>
      </c>
      <c r="N213" s="40">
        <v>2013</v>
      </c>
      <c r="O213" s="32">
        <f>VLOOKUP(Data!N260, CPI!$A$2:$B$112, 2, 0)</f>
        <v>201.6</v>
      </c>
      <c r="P213" s="32" t="s">
        <v>238</v>
      </c>
      <c r="Q213" s="32" t="s">
        <v>239</v>
      </c>
      <c r="R213" s="32" t="s">
        <v>531</v>
      </c>
      <c r="S213" s="58">
        <v>49183</v>
      </c>
      <c r="T213" s="32" t="s">
        <v>300</v>
      </c>
      <c r="U213" s="32">
        <f t="shared" si="8"/>
        <v>48.124266144814086</v>
      </c>
      <c r="V213" s="32" t="s">
        <v>316</v>
      </c>
      <c r="X213" s="32">
        <f t="shared" si="9"/>
        <v>48.124266144814086</v>
      </c>
      <c r="Y213" s="32">
        <f>(CPI!$B$112/O213)*X213</f>
        <v>72.729885938179507</v>
      </c>
      <c r="Z213" s="38" t="s">
        <v>262</v>
      </c>
      <c r="AA213" s="35" t="s">
        <v>1446</v>
      </c>
      <c r="AB213" s="32">
        <v>1022</v>
      </c>
      <c r="AC213" s="32" t="s">
        <v>1446</v>
      </c>
      <c r="AH213" s="32" t="s">
        <v>411</v>
      </c>
      <c r="AK213" s="40" t="s">
        <v>536</v>
      </c>
      <c r="AL213" s="32">
        <v>2014</v>
      </c>
      <c r="AM213" s="32" t="s">
        <v>537</v>
      </c>
      <c r="AN213" s="32" t="s">
        <v>538</v>
      </c>
      <c r="AO213" s="38" t="s">
        <v>539</v>
      </c>
      <c r="AP213" s="35" t="s">
        <v>396</v>
      </c>
    </row>
    <row r="214" spans="1:42" x14ac:dyDescent="0.2">
      <c r="A214" s="40">
        <v>23</v>
      </c>
      <c r="B214" s="40">
        <v>213</v>
      </c>
      <c r="C214" s="40" t="s">
        <v>149</v>
      </c>
      <c r="D214" s="38" t="s">
        <v>148</v>
      </c>
      <c r="E214" s="32" t="s">
        <v>2186</v>
      </c>
      <c r="F214" s="32" t="s">
        <v>29</v>
      </c>
      <c r="G214" s="38" t="s">
        <v>29</v>
      </c>
      <c r="H214" s="32" t="s">
        <v>30</v>
      </c>
      <c r="I214" s="32" t="s">
        <v>243</v>
      </c>
      <c r="J214" s="32" t="s">
        <v>535</v>
      </c>
      <c r="K214" s="32" t="s">
        <v>129</v>
      </c>
      <c r="L214" s="32" t="s">
        <v>30</v>
      </c>
      <c r="M214" s="32" t="s">
        <v>30</v>
      </c>
      <c r="N214" s="40">
        <v>2013</v>
      </c>
      <c r="O214" s="32">
        <f>VLOOKUP(Data!N261, CPI!$A$2:$B$112, 2, 0)</f>
        <v>201.6</v>
      </c>
      <c r="P214" s="32" t="s">
        <v>134</v>
      </c>
      <c r="Q214" s="32" t="s">
        <v>239</v>
      </c>
      <c r="R214" s="32" t="s">
        <v>533</v>
      </c>
      <c r="S214" s="58">
        <v>1022</v>
      </c>
      <c r="T214" s="32" t="s">
        <v>316</v>
      </c>
      <c r="U214" s="58">
        <v>1022</v>
      </c>
      <c r="V214" s="32" t="s">
        <v>316</v>
      </c>
      <c r="X214" s="32">
        <f t="shared" si="9"/>
        <v>1022</v>
      </c>
      <c r="Y214" s="32">
        <f>(CPI!$B$112/O214)*X214</f>
        <v>1544.541857638889</v>
      </c>
      <c r="Z214" s="38" t="s">
        <v>262</v>
      </c>
      <c r="AA214" s="35" t="s">
        <v>1446</v>
      </c>
      <c r="AB214" s="32">
        <v>1022</v>
      </c>
      <c r="AC214" s="32" t="s">
        <v>1446</v>
      </c>
      <c r="AH214" s="32" t="s">
        <v>411</v>
      </c>
      <c r="AK214" s="40" t="s">
        <v>536</v>
      </c>
      <c r="AL214" s="32">
        <v>2014</v>
      </c>
      <c r="AM214" s="32" t="s">
        <v>537</v>
      </c>
      <c r="AN214" s="32" t="s">
        <v>538</v>
      </c>
      <c r="AO214" s="38" t="s">
        <v>539</v>
      </c>
      <c r="AP214" s="35" t="s">
        <v>396</v>
      </c>
    </row>
    <row r="215" spans="1:42" x14ac:dyDescent="0.2">
      <c r="A215" s="40">
        <v>23</v>
      </c>
      <c r="B215" s="40">
        <v>214</v>
      </c>
      <c r="C215" s="40" t="s">
        <v>149</v>
      </c>
      <c r="D215" s="38" t="s">
        <v>148</v>
      </c>
      <c r="E215" s="32" t="s">
        <v>2186</v>
      </c>
      <c r="F215" s="32" t="s">
        <v>29</v>
      </c>
      <c r="G215" s="38" t="s">
        <v>29</v>
      </c>
      <c r="H215" s="32" t="s">
        <v>30</v>
      </c>
      <c r="I215" s="32" t="s">
        <v>243</v>
      </c>
      <c r="J215" s="32" t="s">
        <v>535</v>
      </c>
      <c r="K215" s="32" t="s">
        <v>129</v>
      </c>
      <c r="L215" s="32" t="s">
        <v>30</v>
      </c>
      <c r="M215" s="32" t="s">
        <v>30</v>
      </c>
      <c r="N215" s="40">
        <v>2013</v>
      </c>
      <c r="O215" s="32">
        <f>VLOOKUP(Data!N262, CPI!$A$2:$B$112, 2, 0)</f>
        <v>201.6</v>
      </c>
      <c r="P215" s="32" t="s">
        <v>134</v>
      </c>
      <c r="Q215" s="32" t="s">
        <v>239</v>
      </c>
      <c r="R215" s="32" t="s">
        <v>532</v>
      </c>
      <c r="S215" s="58">
        <v>2402549</v>
      </c>
      <c r="T215" s="32" t="s">
        <v>300</v>
      </c>
      <c r="U215" s="32">
        <f t="shared" ref="U215:U222" si="10">S215/AB215</f>
        <v>2350.8307240704503</v>
      </c>
      <c r="V215" s="32" t="s">
        <v>316</v>
      </c>
      <c r="X215" s="32">
        <f t="shared" si="9"/>
        <v>2350.8307240704503</v>
      </c>
      <c r="Y215" s="32">
        <f>(CPI!$B$112/O215)*X215</f>
        <v>3552.7949643349784</v>
      </c>
      <c r="Z215" s="38" t="s">
        <v>262</v>
      </c>
      <c r="AA215" s="35" t="s">
        <v>1446</v>
      </c>
      <c r="AB215" s="32">
        <v>1022</v>
      </c>
      <c r="AC215" s="32" t="s">
        <v>1446</v>
      </c>
      <c r="AH215" s="32" t="s">
        <v>411</v>
      </c>
      <c r="AK215" s="40" t="s">
        <v>536</v>
      </c>
      <c r="AL215" s="32">
        <v>2014</v>
      </c>
      <c r="AM215" s="32" t="s">
        <v>537</v>
      </c>
      <c r="AN215" s="32" t="s">
        <v>538</v>
      </c>
      <c r="AO215" s="38" t="s">
        <v>539</v>
      </c>
      <c r="AP215" s="35" t="s">
        <v>396</v>
      </c>
    </row>
    <row r="216" spans="1:42" x14ac:dyDescent="0.2">
      <c r="A216" s="40">
        <v>23</v>
      </c>
      <c r="B216" s="40">
        <v>215</v>
      </c>
      <c r="C216" s="40" t="s">
        <v>149</v>
      </c>
      <c r="D216" s="38" t="s">
        <v>148</v>
      </c>
      <c r="E216" s="32" t="s">
        <v>2186</v>
      </c>
      <c r="F216" s="32" t="s">
        <v>29</v>
      </c>
      <c r="G216" s="38" t="s">
        <v>29</v>
      </c>
      <c r="H216" s="32" t="s">
        <v>30</v>
      </c>
      <c r="I216" s="32" t="s">
        <v>243</v>
      </c>
      <c r="J216" s="32" t="s">
        <v>541</v>
      </c>
      <c r="K216" s="32" t="s">
        <v>129</v>
      </c>
      <c r="L216" s="32" t="s">
        <v>30</v>
      </c>
      <c r="M216" s="32" t="s">
        <v>30</v>
      </c>
      <c r="N216" s="40">
        <v>2013</v>
      </c>
      <c r="O216" s="32">
        <f>VLOOKUP(Data!N263, CPI!$A$2:$B$112, 2, 0)</f>
        <v>201.6</v>
      </c>
      <c r="P216" s="32" t="s">
        <v>238</v>
      </c>
      <c r="Q216" s="32" t="s">
        <v>239</v>
      </c>
      <c r="R216" s="32" t="s">
        <v>525</v>
      </c>
      <c r="S216" s="32">
        <v>206</v>
      </c>
      <c r="T216" s="32" t="s">
        <v>300</v>
      </c>
      <c r="U216" s="32">
        <f t="shared" si="10"/>
        <v>3.7010420409629895E-2</v>
      </c>
      <c r="V216" s="32" t="s">
        <v>316</v>
      </c>
      <c r="X216" s="32">
        <f t="shared" si="9"/>
        <v>3.7010420409629895E-2</v>
      </c>
      <c r="Y216" s="32">
        <f>(CPI!$B$112/O216)*X216</f>
        <v>5.5933604199105688E-2</v>
      </c>
      <c r="Z216" s="38" t="s">
        <v>262</v>
      </c>
      <c r="AA216" s="35" t="s">
        <v>1447</v>
      </c>
      <c r="AB216" s="32">
        <v>5566</v>
      </c>
      <c r="AC216" s="32" t="s">
        <v>1446</v>
      </c>
      <c r="AH216" s="32" t="s">
        <v>411</v>
      </c>
      <c r="AK216" s="40" t="s">
        <v>536</v>
      </c>
      <c r="AL216" s="32">
        <v>2014</v>
      </c>
      <c r="AM216" s="32" t="s">
        <v>537</v>
      </c>
      <c r="AN216" s="32" t="s">
        <v>538</v>
      </c>
      <c r="AO216" s="38" t="s">
        <v>539</v>
      </c>
      <c r="AP216" s="35" t="s">
        <v>396</v>
      </c>
    </row>
    <row r="217" spans="1:42" x14ac:dyDescent="0.2">
      <c r="A217" s="40">
        <v>23</v>
      </c>
      <c r="B217" s="40">
        <v>216</v>
      </c>
      <c r="C217" s="40" t="s">
        <v>149</v>
      </c>
      <c r="D217" s="38" t="s">
        <v>148</v>
      </c>
      <c r="E217" s="32" t="s">
        <v>2183</v>
      </c>
      <c r="F217" s="32" t="s">
        <v>237</v>
      </c>
      <c r="G217" s="38" t="s">
        <v>154</v>
      </c>
      <c r="H217" s="32" t="s">
        <v>30</v>
      </c>
      <c r="I217" s="32" t="s">
        <v>243</v>
      </c>
      <c r="J217" s="32" t="s">
        <v>541</v>
      </c>
      <c r="K217" s="32" t="s">
        <v>129</v>
      </c>
      <c r="L217" s="32" t="s">
        <v>30</v>
      </c>
      <c r="M217" s="32" t="s">
        <v>30</v>
      </c>
      <c r="N217" s="40">
        <v>2013</v>
      </c>
      <c r="O217" s="32">
        <f>VLOOKUP(Data!N264, CPI!$A$2:$B$112, 2, 0)</f>
        <v>201.6</v>
      </c>
      <c r="P217" s="32" t="s">
        <v>238</v>
      </c>
      <c r="Q217" s="32" t="s">
        <v>239</v>
      </c>
      <c r="R217" s="32" t="s">
        <v>526</v>
      </c>
      <c r="S217" s="32">
        <v>109</v>
      </c>
      <c r="T217" s="32" t="s">
        <v>300</v>
      </c>
      <c r="U217" s="32">
        <f t="shared" si="10"/>
        <v>1.9583183614804166E-2</v>
      </c>
      <c r="V217" s="32" t="s">
        <v>316</v>
      </c>
      <c r="X217" s="32">
        <f t="shared" si="9"/>
        <v>1.9583183614804166E-2</v>
      </c>
      <c r="Y217" s="32">
        <f>(CPI!$B$112/O217)*X217</f>
        <v>2.9595936202439416E-2</v>
      </c>
      <c r="Z217" s="38" t="s">
        <v>262</v>
      </c>
      <c r="AA217" s="35" t="s">
        <v>1447</v>
      </c>
      <c r="AB217" s="32">
        <v>5566</v>
      </c>
      <c r="AC217" s="32" t="s">
        <v>1446</v>
      </c>
      <c r="AH217" s="32" t="s">
        <v>411</v>
      </c>
      <c r="AK217" s="40" t="s">
        <v>536</v>
      </c>
      <c r="AL217" s="32">
        <v>2014</v>
      </c>
      <c r="AM217" s="32" t="s">
        <v>537</v>
      </c>
      <c r="AN217" s="32" t="s">
        <v>538</v>
      </c>
      <c r="AO217" s="38" t="s">
        <v>539</v>
      </c>
      <c r="AP217" s="35" t="s">
        <v>396</v>
      </c>
    </row>
    <row r="218" spans="1:42" x14ac:dyDescent="0.2">
      <c r="A218" s="40">
        <v>23</v>
      </c>
      <c r="B218" s="40">
        <v>217</v>
      </c>
      <c r="C218" s="40" t="s">
        <v>149</v>
      </c>
      <c r="D218" s="38" t="s">
        <v>148</v>
      </c>
      <c r="E218" s="32" t="s">
        <v>2183</v>
      </c>
      <c r="F218" s="32" t="s">
        <v>237</v>
      </c>
      <c r="G218" s="38" t="s">
        <v>154</v>
      </c>
      <c r="H218" s="32" t="s">
        <v>30</v>
      </c>
      <c r="I218" s="32" t="s">
        <v>243</v>
      </c>
      <c r="J218" s="32" t="s">
        <v>541</v>
      </c>
      <c r="K218" s="32" t="s">
        <v>129</v>
      </c>
      <c r="L218" s="32" t="s">
        <v>30</v>
      </c>
      <c r="M218" s="32" t="s">
        <v>30</v>
      </c>
      <c r="N218" s="40">
        <v>2013</v>
      </c>
      <c r="O218" s="32">
        <f>VLOOKUP(Data!N265, CPI!$A$2:$B$112, 2, 0)</f>
        <v>201.6</v>
      </c>
      <c r="P218" s="32" t="s">
        <v>238</v>
      </c>
      <c r="Q218" s="32" t="s">
        <v>239</v>
      </c>
      <c r="R218" s="32" t="s">
        <v>527</v>
      </c>
      <c r="S218" s="32">
        <v>129</v>
      </c>
      <c r="T218" s="32" t="s">
        <v>300</v>
      </c>
      <c r="U218" s="32">
        <f t="shared" si="10"/>
        <v>2.3176428314768235E-2</v>
      </c>
      <c r="V218" s="32" t="s">
        <v>316</v>
      </c>
      <c r="X218" s="32">
        <f t="shared" si="9"/>
        <v>2.3176428314768235E-2</v>
      </c>
      <c r="Y218" s="32">
        <f>(CPI!$B$112/O218)*X218</f>
        <v>3.5026383212061328E-2</v>
      </c>
      <c r="Z218" s="38" t="s">
        <v>262</v>
      </c>
      <c r="AA218" s="35" t="s">
        <v>1447</v>
      </c>
      <c r="AB218" s="32">
        <v>5566</v>
      </c>
      <c r="AC218" s="32" t="s">
        <v>1446</v>
      </c>
      <c r="AH218" s="32" t="s">
        <v>411</v>
      </c>
      <c r="AK218" s="40" t="s">
        <v>536</v>
      </c>
      <c r="AL218" s="32">
        <v>2014</v>
      </c>
      <c r="AM218" s="32" t="s">
        <v>537</v>
      </c>
      <c r="AN218" s="32" t="s">
        <v>538</v>
      </c>
      <c r="AO218" s="38" t="s">
        <v>539</v>
      </c>
      <c r="AP218" s="35" t="s">
        <v>396</v>
      </c>
    </row>
    <row r="219" spans="1:42" x14ac:dyDescent="0.2">
      <c r="A219" s="40">
        <v>23</v>
      </c>
      <c r="B219" s="40">
        <v>218</v>
      </c>
      <c r="C219" s="40" t="s">
        <v>149</v>
      </c>
      <c r="D219" s="38" t="s">
        <v>148</v>
      </c>
      <c r="E219" s="32" t="s">
        <v>2184</v>
      </c>
      <c r="F219" s="32" t="s">
        <v>145</v>
      </c>
      <c r="G219" s="38" t="s">
        <v>146</v>
      </c>
      <c r="H219" s="32" t="s">
        <v>30</v>
      </c>
      <c r="I219" s="32" t="s">
        <v>243</v>
      </c>
      <c r="J219" s="32" t="s">
        <v>541</v>
      </c>
      <c r="K219" s="32" t="s">
        <v>129</v>
      </c>
      <c r="L219" s="32" t="s">
        <v>30</v>
      </c>
      <c r="M219" s="32" t="s">
        <v>30</v>
      </c>
      <c r="N219" s="40">
        <v>2013</v>
      </c>
      <c r="O219" s="32">
        <f>VLOOKUP(Data!N266, CPI!$A$2:$B$112, 2, 0)</f>
        <v>201.6</v>
      </c>
      <c r="P219" s="32" t="s">
        <v>245</v>
      </c>
      <c r="Q219" s="32" t="s">
        <v>239</v>
      </c>
      <c r="R219" s="32" t="s">
        <v>528</v>
      </c>
      <c r="S219" s="32">
        <v>395</v>
      </c>
      <c r="T219" s="32" t="s">
        <v>300</v>
      </c>
      <c r="U219" s="32">
        <f t="shared" si="10"/>
        <v>7.0966582824290331E-2</v>
      </c>
      <c r="V219" s="32" t="s">
        <v>316</v>
      </c>
      <c r="X219" s="32">
        <f t="shared" si="9"/>
        <v>7.0966582824290331E-2</v>
      </c>
      <c r="Y219" s="32">
        <f>(CPI!$B$112/O219)*X219</f>
        <v>0.10725132844003275</v>
      </c>
      <c r="Z219" s="38" t="s">
        <v>262</v>
      </c>
      <c r="AA219" s="35" t="s">
        <v>1447</v>
      </c>
      <c r="AB219" s="32">
        <v>5566</v>
      </c>
      <c r="AC219" s="32" t="s">
        <v>1446</v>
      </c>
      <c r="AH219" s="32" t="s">
        <v>411</v>
      </c>
      <c r="AK219" s="40" t="s">
        <v>536</v>
      </c>
      <c r="AL219" s="32">
        <v>2014</v>
      </c>
      <c r="AM219" s="32" t="s">
        <v>537</v>
      </c>
      <c r="AN219" s="32" t="s">
        <v>538</v>
      </c>
      <c r="AO219" s="38" t="s">
        <v>539</v>
      </c>
      <c r="AP219" s="35" t="s">
        <v>396</v>
      </c>
    </row>
    <row r="220" spans="1:42" x14ac:dyDescent="0.2">
      <c r="A220" s="40">
        <v>23</v>
      </c>
      <c r="B220" s="40">
        <v>219</v>
      </c>
      <c r="C220" s="40" t="s">
        <v>149</v>
      </c>
      <c r="D220" s="38" t="s">
        <v>148</v>
      </c>
      <c r="E220" s="32" t="s">
        <v>2184</v>
      </c>
      <c r="F220" s="32" t="s">
        <v>155</v>
      </c>
      <c r="G220" s="38" t="s">
        <v>28</v>
      </c>
      <c r="H220" s="32" t="s">
        <v>30</v>
      </c>
      <c r="I220" s="32" t="s">
        <v>243</v>
      </c>
      <c r="J220" s="32" t="s">
        <v>541</v>
      </c>
      <c r="K220" s="32" t="s">
        <v>129</v>
      </c>
      <c r="L220" s="32" t="s">
        <v>30</v>
      </c>
      <c r="M220" s="32" t="s">
        <v>30</v>
      </c>
      <c r="N220" s="40">
        <v>2013</v>
      </c>
      <c r="O220" s="32">
        <f>VLOOKUP(Data!N267, CPI!$A$2:$B$112, 2, 0)</f>
        <v>201.6</v>
      </c>
      <c r="P220" s="32" t="s">
        <v>245</v>
      </c>
      <c r="Q220" s="32" t="s">
        <v>239</v>
      </c>
      <c r="R220" s="32" t="s">
        <v>529</v>
      </c>
      <c r="S220" s="32">
        <v>35</v>
      </c>
      <c r="T220" s="32" t="s">
        <v>300</v>
      </c>
      <c r="U220" s="32">
        <f t="shared" si="10"/>
        <v>6.2881782249371186E-3</v>
      </c>
      <c r="V220" s="32" t="s">
        <v>316</v>
      </c>
      <c r="X220" s="32">
        <f t="shared" si="9"/>
        <v>6.2881782249371186E-3</v>
      </c>
      <c r="Y220" s="32">
        <f>(CPI!$B$112/O220)*X220</f>
        <v>9.5032822668383466E-3</v>
      </c>
      <c r="Z220" s="38" t="s">
        <v>262</v>
      </c>
      <c r="AA220" s="35" t="s">
        <v>1447</v>
      </c>
      <c r="AB220" s="32">
        <v>5566</v>
      </c>
      <c r="AC220" s="32" t="s">
        <v>1446</v>
      </c>
      <c r="AH220" s="32" t="s">
        <v>411</v>
      </c>
      <c r="AK220" s="40" t="s">
        <v>536</v>
      </c>
      <c r="AL220" s="32">
        <v>2014</v>
      </c>
      <c r="AM220" s="32" t="s">
        <v>537</v>
      </c>
      <c r="AN220" s="32" t="s">
        <v>538</v>
      </c>
      <c r="AO220" s="38" t="s">
        <v>539</v>
      </c>
      <c r="AP220" s="35" t="s">
        <v>396</v>
      </c>
    </row>
    <row r="221" spans="1:42" x14ac:dyDescent="0.2">
      <c r="A221" s="40">
        <v>23</v>
      </c>
      <c r="B221" s="40">
        <v>220</v>
      </c>
      <c r="C221" s="40" t="s">
        <v>149</v>
      </c>
      <c r="D221" s="38" t="s">
        <v>148</v>
      </c>
      <c r="E221" s="32" t="s">
        <v>2184</v>
      </c>
      <c r="F221" s="32" t="s">
        <v>131</v>
      </c>
      <c r="G221" s="38" t="s">
        <v>133</v>
      </c>
      <c r="H221" s="32" t="s">
        <v>30</v>
      </c>
      <c r="I221" s="32" t="s">
        <v>243</v>
      </c>
      <c r="J221" s="32" t="s">
        <v>541</v>
      </c>
      <c r="K221" s="32" t="s">
        <v>129</v>
      </c>
      <c r="L221" s="32" t="s">
        <v>30</v>
      </c>
      <c r="M221" s="32" t="s">
        <v>30</v>
      </c>
      <c r="N221" s="40">
        <v>2013</v>
      </c>
      <c r="O221" s="32">
        <f>VLOOKUP(Data!N268, CPI!$A$2:$B$112, 2, 0)</f>
        <v>201.6</v>
      </c>
      <c r="P221" s="32" t="s">
        <v>238</v>
      </c>
      <c r="Q221" s="32" t="s">
        <v>239</v>
      </c>
      <c r="R221" s="32" t="s">
        <v>530</v>
      </c>
      <c r="S221" s="32">
        <v>251</v>
      </c>
      <c r="T221" s="32" t="s">
        <v>300</v>
      </c>
      <c r="U221" s="32">
        <f t="shared" si="10"/>
        <v>4.5095220984549045E-2</v>
      </c>
      <c r="V221" s="32" t="s">
        <v>316</v>
      </c>
      <c r="X221" s="32">
        <f t="shared" si="9"/>
        <v>4.5095220984549045E-2</v>
      </c>
      <c r="Y221" s="32">
        <f>(CPI!$B$112/O221)*X221</f>
        <v>6.8152109970754993E-2</v>
      </c>
      <c r="Z221" s="38" t="s">
        <v>262</v>
      </c>
      <c r="AA221" s="35" t="s">
        <v>1447</v>
      </c>
      <c r="AB221" s="32">
        <v>5566</v>
      </c>
      <c r="AC221" s="32" t="s">
        <v>1446</v>
      </c>
      <c r="AH221" s="32" t="s">
        <v>411</v>
      </c>
      <c r="AK221" s="40" t="s">
        <v>536</v>
      </c>
      <c r="AL221" s="32">
        <v>2014</v>
      </c>
      <c r="AM221" s="32" t="s">
        <v>537</v>
      </c>
      <c r="AN221" s="32" t="s">
        <v>538</v>
      </c>
      <c r="AO221" s="38" t="s">
        <v>539</v>
      </c>
      <c r="AP221" s="35" t="s">
        <v>396</v>
      </c>
    </row>
    <row r="222" spans="1:42" x14ac:dyDescent="0.2">
      <c r="A222" s="40">
        <v>23</v>
      </c>
      <c r="B222" s="40">
        <v>221</v>
      </c>
      <c r="C222" s="40" t="s">
        <v>149</v>
      </c>
      <c r="D222" s="38" t="s">
        <v>148</v>
      </c>
      <c r="E222" s="32" t="s">
        <v>2887</v>
      </c>
      <c r="F222" s="32" t="s">
        <v>121</v>
      </c>
      <c r="G222" s="38" t="s">
        <v>123</v>
      </c>
      <c r="H222" s="32" t="s">
        <v>30</v>
      </c>
      <c r="I222" s="32" t="s">
        <v>243</v>
      </c>
      <c r="J222" s="32" t="s">
        <v>541</v>
      </c>
      <c r="K222" s="32" t="s">
        <v>129</v>
      </c>
      <c r="L222" s="32" t="s">
        <v>30</v>
      </c>
      <c r="M222" s="32" t="s">
        <v>30</v>
      </c>
      <c r="N222" s="40">
        <v>2013</v>
      </c>
      <c r="O222" s="32">
        <f>VLOOKUP(Data!N269, CPI!$A$2:$B$112, 2, 0)</f>
        <v>201.6</v>
      </c>
      <c r="P222" s="32" t="s">
        <v>238</v>
      </c>
      <c r="Q222" s="32" t="s">
        <v>239</v>
      </c>
      <c r="R222" s="32" t="s">
        <v>531</v>
      </c>
      <c r="S222" s="32">
        <v>41</v>
      </c>
      <c r="T222" s="32" t="s">
        <v>300</v>
      </c>
      <c r="U222" s="32">
        <f t="shared" si="10"/>
        <v>7.3661516349263385E-3</v>
      </c>
      <c r="V222" s="32" t="s">
        <v>316</v>
      </c>
      <c r="X222" s="32">
        <f t="shared" si="9"/>
        <v>7.3661516349263385E-3</v>
      </c>
      <c r="Y222" s="32">
        <f>(CPI!$B$112/O222)*X222</f>
        <v>1.1132416369724918E-2</v>
      </c>
      <c r="Z222" s="38" t="s">
        <v>262</v>
      </c>
      <c r="AA222" s="35" t="s">
        <v>1447</v>
      </c>
      <c r="AB222" s="32">
        <v>5566</v>
      </c>
      <c r="AC222" s="32" t="s">
        <v>1446</v>
      </c>
      <c r="AH222" s="32" t="s">
        <v>411</v>
      </c>
      <c r="AK222" s="40" t="s">
        <v>536</v>
      </c>
      <c r="AL222" s="32">
        <v>2014</v>
      </c>
      <c r="AM222" s="32" t="s">
        <v>537</v>
      </c>
      <c r="AN222" s="32" t="s">
        <v>538</v>
      </c>
      <c r="AO222" s="38" t="s">
        <v>539</v>
      </c>
      <c r="AP222" s="35" t="s">
        <v>396</v>
      </c>
    </row>
    <row r="223" spans="1:42" x14ac:dyDescent="0.2">
      <c r="A223" s="40">
        <v>23</v>
      </c>
      <c r="B223" s="40">
        <v>222</v>
      </c>
      <c r="C223" s="40" t="s">
        <v>149</v>
      </c>
      <c r="D223" s="38" t="s">
        <v>148</v>
      </c>
      <c r="E223" s="32" t="s">
        <v>2186</v>
      </c>
      <c r="F223" s="32" t="s">
        <v>29</v>
      </c>
      <c r="G223" s="38" t="s">
        <v>29</v>
      </c>
      <c r="H223" s="32" t="s">
        <v>30</v>
      </c>
      <c r="I223" s="32" t="s">
        <v>243</v>
      </c>
      <c r="J223" s="32" t="s">
        <v>541</v>
      </c>
      <c r="K223" s="32" t="s">
        <v>129</v>
      </c>
      <c r="L223" s="32" t="s">
        <v>30</v>
      </c>
      <c r="M223" s="32" t="s">
        <v>30</v>
      </c>
      <c r="N223" s="40">
        <v>2013</v>
      </c>
      <c r="O223" s="32">
        <f>VLOOKUP(Data!N270, CPI!$A$2:$B$112, 2, 0)</f>
        <v>201.6</v>
      </c>
      <c r="P223" s="32" t="s">
        <v>134</v>
      </c>
      <c r="Q223" s="32" t="s">
        <v>239</v>
      </c>
      <c r="R223" s="32" t="s">
        <v>533</v>
      </c>
      <c r="S223" s="32">
        <v>1166</v>
      </c>
      <c r="T223" s="32" t="s">
        <v>316</v>
      </c>
      <c r="U223" s="32">
        <v>1166</v>
      </c>
      <c r="V223" s="32" t="s">
        <v>316</v>
      </c>
      <c r="X223" s="32">
        <f t="shared" si="9"/>
        <v>1166</v>
      </c>
      <c r="Y223" s="32">
        <f>(CPI!$B$112/O223)*X223</f>
        <v>1762.1681076388891</v>
      </c>
      <c r="Z223" s="38" t="s">
        <v>262</v>
      </c>
      <c r="AA223" s="35" t="s">
        <v>1447</v>
      </c>
      <c r="AB223" s="32">
        <v>5566</v>
      </c>
      <c r="AC223" s="32" t="s">
        <v>1446</v>
      </c>
      <c r="AH223" s="32" t="s">
        <v>411</v>
      </c>
      <c r="AK223" s="40" t="s">
        <v>536</v>
      </c>
      <c r="AL223" s="32">
        <v>2014</v>
      </c>
      <c r="AM223" s="32" t="s">
        <v>537</v>
      </c>
      <c r="AN223" s="32" t="s">
        <v>538</v>
      </c>
      <c r="AO223" s="38" t="s">
        <v>539</v>
      </c>
      <c r="AP223" s="35" t="s">
        <v>396</v>
      </c>
    </row>
    <row r="224" spans="1:42" x14ac:dyDescent="0.2">
      <c r="A224" s="40">
        <v>23</v>
      </c>
      <c r="B224" s="40">
        <v>223</v>
      </c>
      <c r="C224" s="40" t="s">
        <v>149</v>
      </c>
      <c r="D224" s="38" t="s">
        <v>148</v>
      </c>
      <c r="E224" s="32" t="s">
        <v>2186</v>
      </c>
      <c r="F224" s="32" t="s">
        <v>29</v>
      </c>
      <c r="G224" s="38" t="s">
        <v>29</v>
      </c>
      <c r="H224" s="32" t="s">
        <v>30</v>
      </c>
      <c r="I224" s="32" t="s">
        <v>243</v>
      </c>
      <c r="J224" s="32" t="s">
        <v>541</v>
      </c>
      <c r="K224" s="32" t="s">
        <v>129</v>
      </c>
      <c r="L224" s="32" t="s">
        <v>30</v>
      </c>
      <c r="M224" s="32" t="s">
        <v>30</v>
      </c>
      <c r="N224" s="40">
        <v>2013</v>
      </c>
      <c r="O224" s="32">
        <f>VLOOKUP(Data!N271, CPI!$A$2:$B$112, 2, 0)</f>
        <v>201.6</v>
      </c>
      <c r="P224" s="32" t="s">
        <v>134</v>
      </c>
      <c r="Q224" s="32" t="s">
        <v>239</v>
      </c>
      <c r="R224" s="32" t="s">
        <v>532</v>
      </c>
      <c r="S224" s="58">
        <v>6488139</v>
      </c>
      <c r="T224" s="32" t="s">
        <v>300</v>
      </c>
      <c r="U224" s="32">
        <f t="shared" ref="U224:U240" si="11">S224/AB224</f>
        <v>1165.6735537190082</v>
      </c>
      <c r="V224" s="32" t="s">
        <v>316</v>
      </c>
      <c r="X224" s="32">
        <f t="shared" si="9"/>
        <v>1165.6735537190082</v>
      </c>
      <c r="Y224" s="32">
        <f>(CPI!$B$112/O224)*X224</f>
        <v>1761.6747515280649</v>
      </c>
      <c r="Z224" s="38" t="s">
        <v>262</v>
      </c>
      <c r="AA224" s="35" t="s">
        <v>1447</v>
      </c>
      <c r="AB224" s="32">
        <v>5566</v>
      </c>
      <c r="AC224" s="32" t="s">
        <v>1446</v>
      </c>
      <c r="AH224" s="32" t="s">
        <v>411</v>
      </c>
      <c r="AK224" s="40" t="s">
        <v>536</v>
      </c>
      <c r="AL224" s="32">
        <v>2014</v>
      </c>
      <c r="AM224" s="32" t="s">
        <v>537</v>
      </c>
      <c r="AN224" s="32" t="s">
        <v>538</v>
      </c>
      <c r="AO224" s="38" t="s">
        <v>539</v>
      </c>
      <c r="AP224" s="35" t="s">
        <v>396</v>
      </c>
    </row>
    <row r="225" spans="1:42" x14ac:dyDescent="0.2">
      <c r="A225" s="40">
        <v>23</v>
      </c>
      <c r="B225" s="40">
        <v>224</v>
      </c>
      <c r="C225" s="40" t="s">
        <v>149</v>
      </c>
      <c r="D225" s="38" t="s">
        <v>148</v>
      </c>
      <c r="E225" s="32" t="s">
        <v>2186</v>
      </c>
      <c r="F225" s="32" t="s">
        <v>29</v>
      </c>
      <c r="G225" s="38" t="s">
        <v>29</v>
      </c>
      <c r="H225" s="32" t="s">
        <v>30</v>
      </c>
      <c r="I225" s="32" t="s">
        <v>243</v>
      </c>
      <c r="J225" s="32" t="s">
        <v>541</v>
      </c>
      <c r="K225" s="32" t="s">
        <v>129</v>
      </c>
      <c r="L225" s="32" t="s">
        <v>30</v>
      </c>
      <c r="M225" s="32" t="s">
        <v>30</v>
      </c>
      <c r="N225" s="40">
        <v>2013</v>
      </c>
      <c r="O225" s="32">
        <f>VLOOKUP(Data!N272, CPI!$A$2:$B$112, 2, 0)</f>
        <v>201.6</v>
      </c>
      <c r="P225" s="32" t="s">
        <v>238</v>
      </c>
      <c r="Q225" s="32" t="s">
        <v>250</v>
      </c>
      <c r="R225" s="32" t="s">
        <v>542</v>
      </c>
      <c r="S225" s="32">
        <v>8010000</v>
      </c>
      <c r="T225" s="32" t="s">
        <v>300</v>
      </c>
      <c r="U225" s="32">
        <f t="shared" si="11"/>
        <v>1439.0945023356091</v>
      </c>
      <c r="V225" s="32" t="s">
        <v>316</v>
      </c>
      <c r="X225" s="32">
        <f t="shared" si="9"/>
        <v>1439.0945023356091</v>
      </c>
      <c r="Y225" s="32">
        <f>(CPI!$B$112/O225)*X225</f>
        <v>2174.8940273535759</v>
      </c>
      <c r="Z225" s="38" t="s">
        <v>262</v>
      </c>
      <c r="AA225" s="35" t="s">
        <v>1447</v>
      </c>
      <c r="AB225" s="32">
        <v>5566</v>
      </c>
      <c r="AC225" s="32" t="s">
        <v>1446</v>
      </c>
      <c r="AH225" s="32" t="s">
        <v>411</v>
      </c>
      <c r="AK225" s="40" t="s">
        <v>536</v>
      </c>
      <c r="AL225" s="32">
        <v>2014</v>
      </c>
      <c r="AM225" s="32" t="s">
        <v>537</v>
      </c>
      <c r="AN225" s="32" t="s">
        <v>538</v>
      </c>
      <c r="AO225" s="38" t="s">
        <v>539</v>
      </c>
      <c r="AP225" s="35" t="s">
        <v>396</v>
      </c>
    </row>
    <row r="226" spans="1:42" x14ac:dyDescent="0.2">
      <c r="A226" s="40">
        <v>23</v>
      </c>
      <c r="B226" s="40">
        <v>225</v>
      </c>
      <c r="C226" s="40" t="s">
        <v>149</v>
      </c>
      <c r="D226" s="38" t="s">
        <v>148</v>
      </c>
      <c r="E226" s="32" t="s">
        <v>2183</v>
      </c>
      <c r="F226" s="32" t="s">
        <v>237</v>
      </c>
      <c r="G226" s="38" t="s">
        <v>154</v>
      </c>
      <c r="H226" s="32" t="s">
        <v>30</v>
      </c>
      <c r="I226" s="32" t="s">
        <v>243</v>
      </c>
      <c r="J226" s="32" t="s">
        <v>541</v>
      </c>
      <c r="K226" s="32" t="s">
        <v>129</v>
      </c>
      <c r="L226" s="32" t="s">
        <v>30</v>
      </c>
      <c r="M226" s="32" t="s">
        <v>30</v>
      </c>
      <c r="N226" s="40">
        <v>2013</v>
      </c>
      <c r="O226" s="32">
        <f>VLOOKUP(Data!N273, CPI!$A$2:$B$112, 2, 0)</f>
        <v>270.97000000000003</v>
      </c>
      <c r="P226" s="32" t="s">
        <v>238</v>
      </c>
      <c r="Q226" s="32" t="s">
        <v>250</v>
      </c>
      <c r="R226" s="32" t="s">
        <v>543</v>
      </c>
      <c r="S226" s="32">
        <v>4200000</v>
      </c>
      <c r="T226" s="32" t="s">
        <v>300</v>
      </c>
      <c r="U226" s="32">
        <f t="shared" si="11"/>
        <v>754.58138699245421</v>
      </c>
      <c r="V226" s="32" t="s">
        <v>316</v>
      </c>
      <c r="X226" s="32">
        <f t="shared" si="9"/>
        <v>754.58138699245421</v>
      </c>
      <c r="Y226" s="32">
        <f>(CPI!$B$112/O226)*X226</f>
        <v>848.44597040024075</v>
      </c>
      <c r="Z226" s="38" t="s">
        <v>262</v>
      </c>
      <c r="AA226" s="35" t="s">
        <v>1447</v>
      </c>
      <c r="AB226" s="32">
        <v>5566</v>
      </c>
      <c r="AC226" s="32" t="s">
        <v>1446</v>
      </c>
      <c r="AH226" s="32" t="s">
        <v>411</v>
      </c>
      <c r="AK226" s="40" t="s">
        <v>536</v>
      </c>
      <c r="AL226" s="32">
        <v>2014</v>
      </c>
      <c r="AM226" s="32" t="s">
        <v>537</v>
      </c>
      <c r="AN226" s="32" t="s">
        <v>538</v>
      </c>
      <c r="AO226" s="38" t="s">
        <v>539</v>
      </c>
      <c r="AP226" s="35" t="s">
        <v>396</v>
      </c>
    </row>
    <row r="227" spans="1:42" x14ac:dyDescent="0.2">
      <c r="A227" s="40">
        <v>23</v>
      </c>
      <c r="B227" s="40">
        <v>226</v>
      </c>
      <c r="C227" s="40" t="s">
        <v>149</v>
      </c>
      <c r="D227" s="38" t="s">
        <v>148</v>
      </c>
      <c r="E227" s="32" t="s">
        <v>2183</v>
      </c>
      <c r="F227" s="32" t="s">
        <v>237</v>
      </c>
      <c r="G227" s="38" t="s">
        <v>154</v>
      </c>
      <c r="H227" s="32" t="s">
        <v>30</v>
      </c>
      <c r="I227" s="32" t="s">
        <v>243</v>
      </c>
      <c r="J227" s="32" t="s">
        <v>541</v>
      </c>
      <c r="K227" s="32" t="s">
        <v>129</v>
      </c>
      <c r="L227" s="32" t="s">
        <v>30</v>
      </c>
      <c r="M227" s="32" t="s">
        <v>30</v>
      </c>
      <c r="N227" s="40">
        <v>2013</v>
      </c>
      <c r="O227" s="32">
        <f>VLOOKUP(Data!N274, CPI!$A$2:$B$112, 2, 0)</f>
        <v>251.107</v>
      </c>
      <c r="P227" s="32" t="s">
        <v>238</v>
      </c>
      <c r="Q227" s="32" t="s">
        <v>250</v>
      </c>
      <c r="R227" s="32" t="s">
        <v>544</v>
      </c>
      <c r="S227" s="32">
        <v>5430000</v>
      </c>
      <c r="T227" s="32" t="s">
        <v>300</v>
      </c>
      <c r="U227" s="32">
        <f t="shared" si="11"/>
        <v>975.56593604024431</v>
      </c>
      <c r="V227" s="32" t="s">
        <v>316</v>
      </c>
      <c r="X227" s="32">
        <f t="shared" si="9"/>
        <v>975.56593604024431</v>
      </c>
      <c r="Y227" s="32">
        <f>(CPI!$B$112/O227)*X227</f>
        <v>1183.6876662277418</v>
      </c>
      <c r="Z227" s="38" t="s">
        <v>262</v>
      </c>
      <c r="AA227" s="35" t="s">
        <v>1447</v>
      </c>
      <c r="AB227" s="32">
        <v>5566</v>
      </c>
      <c r="AC227" s="32" t="s">
        <v>1446</v>
      </c>
      <c r="AH227" s="32" t="s">
        <v>411</v>
      </c>
      <c r="AK227" s="40" t="s">
        <v>536</v>
      </c>
      <c r="AL227" s="32">
        <v>2014</v>
      </c>
      <c r="AM227" s="32" t="s">
        <v>537</v>
      </c>
      <c r="AN227" s="32" t="s">
        <v>538</v>
      </c>
      <c r="AO227" s="38" t="s">
        <v>539</v>
      </c>
      <c r="AP227" s="35" t="s">
        <v>396</v>
      </c>
    </row>
    <row r="228" spans="1:42" x14ac:dyDescent="0.2">
      <c r="A228" s="40">
        <v>23</v>
      </c>
      <c r="B228" s="40">
        <v>227</v>
      </c>
      <c r="C228" s="40" t="s">
        <v>149</v>
      </c>
      <c r="D228" s="38" t="s">
        <v>148</v>
      </c>
      <c r="E228" s="32" t="s">
        <v>2184</v>
      </c>
      <c r="F228" s="32" t="s">
        <v>145</v>
      </c>
      <c r="G228" s="38" t="s">
        <v>146</v>
      </c>
      <c r="H228" s="32" t="s">
        <v>30</v>
      </c>
      <c r="I228" s="32" t="s">
        <v>243</v>
      </c>
      <c r="J228" s="32" t="s">
        <v>541</v>
      </c>
      <c r="K228" s="32" t="s">
        <v>129</v>
      </c>
      <c r="L228" s="32" t="s">
        <v>30</v>
      </c>
      <c r="M228" s="32" t="s">
        <v>30</v>
      </c>
      <c r="N228" s="40">
        <v>2013</v>
      </c>
      <c r="O228" s="32">
        <f>VLOOKUP(Data!N275, CPI!$A$2:$B$112, 2, 0)</f>
        <v>251.107</v>
      </c>
      <c r="P228" s="32" t="s">
        <v>245</v>
      </c>
      <c r="Q228" s="32" t="s">
        <v>250</v>
      </c>
      <c r="R228" s="32" t="s">
        <v>545</v>
      </c>
      <c r="S228" s="32">
        <v>12940000</v>
      </c>
      <c r="T228" s="32" t="s">
        <v>300</v>
      </c>
      <c r="U228" s="32">
        <f t="shared" si="11"/>
        <v>2324.8293208767518</v>
      </c>
      <c r="V228" s="32" t="s">
        <v>316</v>
      </c>
      <c r="X228" s="32">
        <f t="shared" si="9"/>
        <v>2324.8293208767518</v>
      </c>
      <c r="Y228" s="32">
        <f>(CPI!$B$112/O228)*X228</f>
        <v>2820.7952856329612</v>
      </c>
      <c r="Z228" s="38" t="s">
        <v>262</v>
      </c>
      <c r="AA228" s="35" t="s">
        <v>1447</v>
      </c>
      <c r="AB228" s="32">
        <v>5566</v>
      </c>
      <c r="AC228" s="32" t="s">
        <v>1446</v>
      </c>
      <c r="AH228" s="32" t="s">
        <v>411</v>
      </c>
      <c r="AK228" s="40" t="s">
        <v>536</v>
      </c>
      <c r="AL228" s="32">
        <v>2014</v>
      </c>
      <c r="AM228" s="32" t="s">
        <v>537</v>
      </c>
      <c r="AN228" s="32" t="s">
        <v>538</v>
      </c>
      <c r="AO228" s="38" t="s">
        <v>539</v>
      </c>
      <c r="AP228" s="35" t="s">
        <v>396</v>
      </c>
    </row>
    <row r="229" spans="1:42" x14ac:dyDescent="0.2">
      <c r="A229" s="40">
        <v>23</v>
      </c>
      <c r="B229" s="40">
        <v>228</v>
      </c>
      <c r="C229" s="40" t="s">
        <v>149</v>
      </c>
      <c r="D229" s="38" t="s">
        <v>148</v>
      </c>
      <c r="E229" s="32" t="s">
        <v>2184</v>
      </c>
      <c r="F229" s="32" t="s">
        <v>155</v>
      </c>
      <c r="G229" s="38" t="s">
        <v>28</v>
      </c>
      <c r="H229" s="32" t="s">
        <v>30</v>
      </c>
      <c r="I229" s="32" t="s">
        <v>243</v>
      </c>
      <c r="J229" s="32" t="s">
        <v>541</v>
      </c>
      <c r="K229" s="32" t="s">
        <v>129</v>
      </c>
      <c r="L229" s="32" t="s">
        <v>30</v>
      </c>
      <c r="M229" s="32" t="s">
        <v>30</v>
      </c>
      <c r="N229" s="40">
        <v>2013</v>
      </c>
      <c r="O229" s="32">
        <f>VLOOKUP(Data!N276, CPI!$A$2:$B$112, 2, 0)</f>
        <v>232.95699999999999</v>
      </c>
      <c r="P229" s="32" t="s">
        <v>245</v>
      </c>
      <c r="Q229" s="32" t="s">
        <v>250</v>
      </c>
      <c r="R229" s="32" t="s">
        <v>546</v>
      </c>
      <c r="S229" s="32">
        <v>1810000</v>
      </c>
      <c r="T229" s="32" t="s">
        <v>300</v>
      </c>
      <c r="U229" s="32">
        <f t="shared" si="11"/>
        <v>325.1886453467481</v>
      </c>
      <c r="V229" s="32" t="s">
        <v>316</v>
      </c>
      <c r="X229" s="32">
        <f t="shared" si="9"/>
        <v>325.1886453467481</v>
      </c>
      <c r="Y229" s="32">
        <f>(CPI!$B$112/O229)*X229</f>
        <v>425.30346630987623</v>
      </c>
      <c r="Z229" s="38" t="s">
        <v>262</v>
      </c>
      <c r="AA229" s="35" t="s">
        <v>1447</v>
      </c>
      <c r="AB229" s="32">
        <v>5566</v>
      </c>
      <c r="AC229" s="32" t="s">
        <v>1446</v>
      </c>
      <c r="AH229" s="32" t="s">
        <v>411</v>
      </c>
      <c r="AK229" s="40" t="s">
        <v>536</v>
      </c>
      <c r="AL229" s="32">
        <v>2014</v>
      </c>
      <c r="AM229" s="32" t="s">
        <v>537</v>
      </c>
      <c r="AN229" s="32" t="s">
        <v>538</v>
      </c>
      <c r="AO229" s="38" t="s">
        <v>539</v>
      </c>
      <c r="AP229" s="35" t="s">
        <v>396</v>
      </c>
    </row>
    <row r="230" spans="1:42" x14ac:dyDescent="0.2">
      <c r="A230" s="40">
        <v>23</v>
      </c>
      <c r="B230" s="40">
        <v>229</v>
      </c>
      <c r="C230" s="40" t="s">
        <v>149</v>
      </c>
      <c r="D230" s="38" t="s">
        <v>148</v>
      </c>
      <c r="E230" s="32" t="s">
        <v>2184</v>
      </c>
      <c r="F230" s="32" t="s">
        <v>131</v>
      </c>
      <c r="G230" s="38" t="s">
        <v>133</v>
      </c>
      <c r="H230" s="32" t="s">
        <v>30</v>
      </c>
      <c r="I230" s="32" t="s">
        <v>243</v>
      </c>
      <c r="J230" s="32" t="s">
        <v>541</v>
      </c>
      <c r="K230" s="32" t="s">
        <v>129</v>
      </c>
      <c r="L230" s="32" t="s">
        <v>30</v>
      </c>
      <c r="M230" s="32" t="s">
        <v>30</v>
      </c>
      <c r="N230" s="40">
        <v>2013</v>
      </c>
      <c r="O230" s="32">
        <f>VLOOKUP(Data!N277, CPI!$A$2:$B$112, 2, 0)</f>
        <v>232.95699999999999</v>
      </c>
      <c r="P230" s="32" t="s">
        <v>238</v>
      </c>
      <c r="Q230" s="32" t="s">
        <v>250</v>
      </c>
      <c r="R230" s="32" t="s">
        <v>547</v>
      </c>
      <c r="S230" s="32">
        <v>9020000</v>
      </c>
      <c r="T230" s="32" t="s">
        <v>300</v>
      </c>
      <c r="U230" s="32">
        <f t="shared" si="11"/>
        <v>1620.5533596837945</v>
      </c>
      <c r="V230" s="32" t="s">
        <v>316</v>
      </c>
      <c r="X230" s="32">
        <f t="shared" si="9"/>
        <v>1620.5533596837945</v>
      </c>
      <c r="Y230" s="32">
        <f>(CPI!$B$112/O230)*X230</f>
        <v>2119.4681028260134</v>
      </c>
      <c r="Z230" s="38" t="s">
        <v>262</v>
      </c>
      <c r="AA230" s="35" t="s">
        <v>1447</v>
      </c>
      <c r="AB230" s="32">
        <v>5566</v>
      </c>
      <c r="AC230" s="32" t="s">
        <v>1446</v>
      </c>
      <c r="AH230" s="32" t="s">
        <v>411</v>
      </c>
      <c r="AK230" s="40" t="s">
        <v>536</v>
      </c>
      <c r="AL230" s="32">
        <v>2014</v>
      </c>
      <c r="AM230" s="32" t="s">
        <v>537</v>
      </c>
      <c r="AN230" s="32" t="s">
        <v>538</v>
      </c>
      <c r="AO230" s="38" t="s">
        <v>539</v>
      </c>
      <c r="AP230" s="35" t="s">
        <v>396</v>
      </c>
    </row>
    <row r="231" spans="1:42" x14ac:dyDescent="0.2">
      <c r="A231" s="40">
        <v>23</v>
      </c>
      <c r="B231" s="40">
        <v>230</v>
      </c>
      <c r="C231" s="40" t="s">
        <v>149</v>
      </c>
      <c r="D231" s="38" t="s">
        <v>148</v>
      </c>
      <c r="E231" s="32" t="s">
        <v>2887</v>
      </c>
      <c r="F231" s="32" t="s">
        <v>121</v>
      </c>
      <c r="G231" s="38" t="s">
        <v>123</v>
      </c>
      <c r="H231" s="32" t="s">
        <v>30</v>
      </c>
      <c r="I231" s="32" t="s">
        <v>243</v>
      </c>
      <c r="J231" s="32" t="s">
        <v>541</v>
      </c>
      <c r="K231" s="32" t="s">
        <v>129</v>
      </c>
      <c r="L231" s="32" t="s">
        <v>30</v>
      </c>
      <c r="M231" s="32" t="s">
        <v>30</v>
      </c>
      <c r="N231" s="40">
        <v>2013</v>
      </c>
      <c r="O231" s="32">
        <f>VLOOKUP(Data!N278, CPI!$A$2:$B$112, 2, 0)</f>
        <v>232.95699999999999</v>
      </c>
      <c r="P231" s="32" t="s">
        <v>238</v>
      </c>
      <c r="Q231" s="32" t="s">
        <v>250</v>
      </c>
      <c r="R231" s="32" t="s">
        <v>548</v>
      </c>
      <c r="S231" s="32">
        <v>1440000</v>
      </c>
      <c r="T231" s="32" t="s">
        <v>300</v>
      </c>
      <c r="U231" s="32">
        <f t="shared" si="11"/>
        <v>258.71361839741286</v>
      </c>
      <c r="V231" s="32" t="s">
        <v>316</v>
      </c>
      <c r="X231" s="32">
        <f t="shared" si="9"/>
        <v>258.71361839741286</v>
      </c>
      <c r="Y231" s="32">
        <f>(CPI!$B$112/O231)*X231</f>
        <v>338.36297872166949</v>
      </c>
      <c r="Z231" s="38" t="s">
        <v>262</v>
      </c>
      <c r="AA231" s="35" t="s">
        <v>1447</v>
      </c>
      <c r="AB231" s="32">
        <v>5566</v>
      </c>
      <c r="AC231" s="32" t="s">
        <v>1446</v>
      </c>
      <c r="AH231" s="32" t="s">
        <v>411</v>
      </c>
      <c r="AK231" s="40" t="s">
        <v>536</v>
      </c>
      <c r="AL231" s="32">
        <v>2014</v>
      </c>
      <c r="AM231" s="32" t="s">
        <v>537</v>
      </c>
      <c r="AN231" s="32" t="s">
        <v>538</v>
      </c>
      <c r="AO231" s="38" t="s">
        <v>539</v>
      </c>
      <c r="AP231" s="35" t="s">
        <v>396</v>
      </c>
    </row>
    <row r="232" spans="1:42" x14ac:dyDescent="0.2">
      <c r="A232" s="40">
        <v>23</v>
      </c>
      <c r="B232" s="40">
        <v>231</v>
      </c>
      <c r="C232" s="40" t="s">
        <v>149</v>
      </c>
      <c r="D232" s="38" t="s">
        <v>148</v>
      </c>
      <c r="E232" s="32" t="s">
        <v>2186</v>
      </c>
      <c r="F232" s="32" t="s">
        <v>29</v>
      </c>
      <c r="G232" s="38" t="s">
        <v>29</v>
      </c>
      <c r="H232" s="32" t="s">
        <v>30</v>
      </c>
      <c r="I232" s="32" t="s">
        <v>243</v>
      </c>
      <c r="J232" s="32" t="s">
        <v>541</v>
      </c>
      <c r="K232" s="32" t="s">
        <v>129</v>
      </c>
      <c r="L232" s="32" t="s">
        <v>30</v>
      </c>
      <c r="M232" s="32" t="s">
        <v>30</v>
      </c>
      <c r="N232" s="40">
        <v>2013</v>
      </c>
      <c r="O232" s="32">
        <f>VLOOKUP(Data!N279, CPI!$A$2:$B$112, 2, 0)</f>
        <v>232.95699999999999</v>
      </c>
      <c r="P232" s="32" t="s">
        <v>134</v>
      </c>
      <c r="Q232" s="32" t="s">
        <v>250</v>
      </c>
      <c r="R232" s="32" t="s">
        <v>549</v>
      </c>
      <c r="S232" s="32">
        <v>42850000</v>
      </c>
      <c r="T232" s="32" t="s">
        <v>300</v>
      </c>
      <c r="U232" s="32">
        <f t="shared" si="11"/>
        <v>7698.5267696730143</v>
      </c>
      <c r="V232" s="32" t="s">
        <v>316</v>
      </c>
      <c r="X232" s="32">
        <f t="shared" si="9"/>
        <v>7698.5267696730143</v>
      </c>
      <c r="Y232" s="32">
        <f>(CPI!$B$112/O232)*X232</f>
        <v>10068.648359877458</v>
      </c>
      <c r="Z232" s="38" t="s">
        <v>262</v>
      </c>
      <c r="AA232" s="35" t="s">
        <v>1447</v>
      </c>
      <c r="AB232" s="32">
        <v>5566</v>
      </c>
      <c r="AC232" s="32" t="s">
        <v>1446</v>
      </c>
      <c r="AH232" s="32" t="s">
        <v>411</v>
      </c>
      <c r="AK232" s="40" t="s">
        <v>536</v>
      </c>
      <c r="AL232" s="32">
        <v>2014</v>
      </c>
      <c r="AM232" s="32" t="s">
        <v>537</v>
      </c>
      <c r="AN232" s="32" t="s">
        <v>538</v>
      </c>
      <c r="AO232" s="38" t="s">
        <v>539</v>
      </c>
      <c r="AP232" s="35" t="s">
        <v>396</v>
      </c>
    </row>
    <row r="233" spans="1:42" x14ac:dyDescent="0.2">
      <c r="A233" s="40">
        <v>23</v>
      </c>
      <c r="B233" s="40">
        <v>232</v>
      </c>
      <c r="C233" s="40" t="s">
        <v>149</v>
      </c>
      <c r="D233" s="38" t="s">
        <v>148</v>
      </c>
      <c r="E233" s="32" t="s">
        <v>2186</v>
      </c>
      <c r="F233" s="32" t="s">
        <v>29</v>
      </c>
      <c r="G233" s="38" t="s">
        <v>29</v>
      </c>
      <c r="H233" s="32" t="s">
        <v>30</v>
      </c>
      <c r="I233" s="32" t="s">
        <v>243</v>
      </c>
      <c r="J233" s="32" t="s">
        <v>541</v>
      </c>
      <c r="K233" s="32" t="s">
        <v>129</v>
      </c>
      <c r="L233" s="32" t="s">
        <v>30</v>
      </c>
      <c r="M233" s="32" t="s">
        <v>30</v>
      </c>
      <c r="N233" s="40">
        <v>2013</v>
      </c>
      <c r="O233" s="32">
        <f>VLOOKUP(Data!N280, CPI!$A$2:$B$112, 2, 0)</f>
        <v>232.95699999999999</v>
      </c>
      <c r="P233" s="32" t="s">
        <v>238</v>
      </c>
      <c r="Q233" s="32" t="s">
        <v>250</v>
      </c>
      <c r="R233" s="32" t="s">
        <v>550</v>
      </c>
      <c r="S233" s="32">
        <v>9200000</v>
      </c>
      <c r="T233" s="32" t="s">
        <v>300</v>
      </c>
      <c r="U233" s="32">
        <f t="shared" si="11"/>
        <v>1652.8925619834711</v>
      </c>
      <c r="V233" s="32" t="s">
        <v>316</v>
      </c>
      <c r="X233" s="32">
        <f t="shared" si="9"/>
        <v>1652.8925619834711</v>
      </c>
      <c r="Y233" s="32">
        <f>(CPI!$B$112/O233)*X233</f>
        <v>2161.7634751662217</v>
      </c>
      <c r="Z233" s="38" t="s">
        <v>262</v>
      </c>
      <c r="AA233" s="35" t="s">
        <v>1447</v>
      </c>
      <c r="AB233" s="32">
        <v>5566</v>
      </c>
      <c r="AC233" s="32" t="s">
        <v>1446</v>
      </c>
      <c r="AH233" s="32" t="s">
        <v>411</v>
      </c>
      <c r="AK233" s="40" t="s">
        <v>536</v>
      </c>
      <c r="AL233" s="32">
        <v>2014</v>
      </c>
      <c r="AM233" s="32" t="s">
        <v>537</v>
      </c>
      <c r="AN233" s="32" t="s">
        <v>538</v>
      </c>
      <c r="AO233" s="38" t="s">
        <v>539</v>
      </c>
      <c r="AP233" s="35" t="s">
        <v>396</v>
      </c>
    </row>
    <row r="234" spans="1:42" x14ac:dyDescent="0.2">
      <c r="A234" s="40">
        <v>23</v>
      </c>
      <c r="B234" s="40">
        <v>233</v>
      </c>
      <c r="C234" s="40" t="s">
        <v>149</v>
      </c>
      <c r="D234" s="38" t="s">
        <v>148</v>
      </c>
      <c r="E234" s="32" t="s">
        <v>2183</v>
      </c>
      <c r="F234" s="32" t="s">
        <v>237</v>
      </c>
      <c r="G234" s="38" t="s">
        <v>154</v>
      </c>
      <c r="H234" s="32" t="s">
        <v>30</v>
      </c>
      <c r="I234" s="32" t="s">
        <v>243</v>
      </c>
      <c r="J234" s="32" t="s">
        <v>541</v>
      </c>
      <c r="K234" s="32" t="s">
        <v>129</v>
      </c>
      <c r="L234" s="32" t="s">
        <v>30</v>
      </c>
      <c r="M234" s="32" t="s">
        <v>30</v>
      </c>
      <c r="N234" s="40">
        <v>2013</v>
      </c>
      <c r="O234" s="32">
        <f>VLOOKUP(Data!N281, CPI!$A$2:$B$112, 2, 0)</f>
        <v>232.95699999999999</v>
      </c>
      <c r="P234" s="32" t="s">
        <v>238</v>
      </c>
      <c r="Q234" s="32" t="s">
        <v>250</v>
      </c>
      <c r="R234" s="32" t="s">
        <v>551</v>
      </c>
      <c r="S234" s="32">
        <v>5450000</v>
      </c>
      <c r="T234" s="32" t="s">
        <v>300</v>
      </c>
      <c r="U234" s="32">
        <f t="shared" si="11"/>
        <v>979.1591807402084</v>
      </c>
      <c r="V234" s="32" t="s">
        <v>316</v>
      </c>
      <c r="X234" s="32">
        <f t="shared" si="9"/>
        <v>979.1591807402084</v>
      </c>
      <c r="Y234" s="32">
        <f>(CPI!$B$112/O234)*X234</f>
        <v>1280.6098847452076</v>
      </c>
      <c r="Z234" s="38" t="s">
        <v>262</v>
      </c>
      <c r="AA234" s="35" t="s">
        <v>1447</v>
      </c>
      <c r="AB234" s="32">
        <v>5566</v>
      </c>
      <c r="AC234" s="32" t="s">
        <v>1446</v>
      </c>
      <c r="AH234" s="32" t="s">
        <v>411</v>
      </c>
      <c r="AK234" s="40" t="s">
        <v>536</v>
      </c>
      <c r="AL234" s="32">
        <v>2014</v>
      </c>
      <c r="AM234" s="32" t="s">
        <v>537</v>
      </c>
      <c r="AN234" s="32" t="s">
        <v>538</v>
      </c>
      <c r="AO234" s="38" t="s">
        <v>539</v>
      </c>
      <c r="AP234" s="35" t="s">
        <v>396</v>
      </c>
    </row>
    <row r="235" spans="1:42" x14ac:dyDescent="0.2">
      <c r="A235" s="40">
        <v>23</v>
      </c>
      <c r="B235" s="40">
        <v>234</v>
      </c>
      <c r="C235" s="40" t="s">
        <v>149</v>
      </c>
      <c r="D235" s="38" t="s">
        <v>148</v>
      </c>
      <c r="E235" s="32" t="s">
        <v>2183</v>
      </c>
      <c r="F235" s="32" t="s">
        <v>237</v>
      </c>
      <c r="G235" s="38" t="s">
        <v>154</v>
      </c>
      <c r="H235" s="32" t="s">
        <v>30</v>
      </c>
      <c r="I235" s="32" t="s">
        <v>243</v>
      </c>
      <c r="J235" s="32" t="s">
        <v>541</v>
      </c>
      <c r="K235" s="32" t="s">
        <v>129</v>
      </c>
      <c r="L235" s="32" t="s">
        <v>30</v>
      </c>
      <c r="M235" s="32" t="s">
        <v>30</v>
      </c>
      <c r="N235" s="40">
        <v>2013</v>
      </c>
      <c r="O235" s="32">
        <f>VLOOKUP(Data!N282, CPI!$A$2:$B$112, 2, 0)</f>
        <v>232.95699999999999</v>
      </c>
      <c r="P235" s="32" t="s">
        <v>238</v>
      </c>
      <c r="Q235" s="32" t="s">
        <v>250</v>
      </c>
      <c r="R235" s="32" t="s">
        <v>552</v>
      </c>
      <c r="S235" s="32">
        <v>7420000</v>
      </c>
      <c r="T235" s="32" t="s">
        <v>300</v>
      </c>
      <c r="U235" s="32">
        <f t="shared" si="11"/>
        <v>1333.093783686669</v>
      </c>
      <c r="V235" s="32" t="s">
        <v>316</v>
      </c>
      <c r="X235" s="32">
        <f t="shared" si="9"/>
        <v>1333.093783686669</v>
      </c>
      <c r="Y235" s="32">
        <f>(CPI!$B$112/O235)*X235</f>
        <v>1743.5092375797137</v>
      </c>
      <c r="Z235" s="38" t="s">
        <v>262</v>
      </c>
      <c r="AA235" s="35" t="s">
        <v>1447</v>
      </c>
      <c r="AB235" s="32">
        <v>5566</v>
      </c>
      <c r="AC235" s="32" t="s">
        <v>1446</v>
      </c>
      <c r="AH235" s="32" t="s">
        <v>411</v>
      </c>
      <c r="AK235" s="40" t="s">
        <v>536</v>
      </c>
      <c r="AL235" s="32">
        <v>2014</v>
      </c>
      <c r="AM235" s="32" t="s">
        <v>537</v>
      </c>
      <c r="AN235" s="32" t="s">
        <v>538</v>
      </c>
      <c r="AO235" s="38" t="s">
        <v>539</v>
      </c>
      <c r="AP235" s="35" t="s">
        <v>396</v>
      </c>
    </row>
    <row r="236" spans="1:42" x14ac:dyDescent="0.2">
      <c r="A236" s="40">
        <v>23</v>
      </c>
      <c r="B236" s="40">
        <v>235</v>
      </c>
      <c r="C236" s="40" t="s">
        <v>149</v>
      </c>
      <c r="D236" s="38" t="s">
        <v>148</v>
      </c>
      <c r="E236" s="32" t="s">
        <v>2184</v>
      </c>
      <c r="F236" s="32" t="s">
        <v>145</v>
      </c>
      <c r="G236" s="38" t="s">
        <v>146</v>
      </c>
      <c r="H236" s="32" t="s">
        <v>30</v>
      </c>
      <c r="I236" s="32" t="s">
        <v>243</v>
      </c>
      <c r="J236" s="32" t="s">
        <v>541</v>
      </c>
      <c r="K236" s="32" t="s">
        <v>129</v>
      </c>
      <c r="L236" s="32" t="s">
        <v>30</v>
      </c>
      <c r="M236" s="32" t="s">
        <v>30</v>
      </c>
      <c r="N236" s="40">
        <v>2013</v>
      </c>
      <c r="O236" s="32">
        <f>VLOOKUP(Data!N283, CPI!$A$2:$B$112, 2, 0)</f>
        <v>232.95699999999999</v>
      </c>
      <c r="P236" s="32" t="s">
        <v>245</v>
      </c>
      <c r="Q236" s="32" t="s">
        <v>250</v>
      </c>
      <c r="R236" s="32" t="s">
        <v>553</v>
      </c>
      <c r="S236" s="32">
        <v>19720000</v>
      </c>
      <c r="T236" s="32" t="s">
        <v>300</v>
      </c>
      <c r="U236" s="32">
        <f t="shared" si="11"/>
        <v>3542.9392741645706</v>
      </c>
      <c r="V236" s="32" t="s">
        <v>316</v>
      </c>
      <c r="X236" s="32">
        <f t="shared" si="9"/>
        <v>3542.9392741645706</v>
      </c>
      <c r="Y236" s="32">
        <f>(CPI!$B$112/O236)*X236</f>
        <v>4633.6930141606408</v>
      </c>
      <c r="Z236" s="38" t="s">
        <v>262</v>
      </c>
      <c r="AA236" s="35" t="s">
        <v>1447</v>
      </c>
      <c r="AB236" s="32">
        <v>5566</v>
      </c>
      <c r="AC236" s="32" t="s">
        <v>1446</v>
      </c>
      <c r="AH236" s="32" t="s">
        <v>411</v>
      </c>
      <c r="AK236" s="40" t="s">
        <v>536</v>
      </c>
      <c r="AL236" s="32">
        <v>2014</v>
      </c>
      <c r="AM236" s="32" t="s">
        <v>537</v>
      </c>
      <c r="AN236" s="32" t="s">
        <v>538</v>
      </c>
      <c r="AO236" s="38" t="s">
        <v>539</v>
      </c>
      <c r="AP236" s="35" t="s">
        <v>396</v>
      </c>
    </row>
    <row r="237" spans="1:42" x14ac:dyDescent="0.2">
      <c r="A237" s="40">
        <v>23</v>
      </c>
      <c r="B237" s="40">
        <v>236</v>
      </c>
      <c r="C237" s="40" t="s">
        <v>149</v>
      </c>
      <c r="D237" s="38" t="s">
        <v>148</v>
      </c>
      <c r="E237" s="32" t="s">
        <v>2184</v>
      </c>
      <c r="F237" s="32" t="s">
        <v>155</v>
      </c>
      <c r="G237" s="38" t="s">
        <v>28</v>
      </c>
      <c r="H237" s="32" t="s">
        <v>30</v>
      </c>
      <c r="I237" s="32" t="s">
        <v>243</v>
      </c>
      <c r="J237" s="32" t="s">
        <v>541</v>
      </c>
      <c r="K237" s="32" t="s">
        <v>129</v>
      </c>
      <c r="L237" s="32" t="s">
        <v>30</v>
      </c>
      <c r="M237" s="32" t="s">
        <v>30</v>
      </c>
      <c r="N237" s="40">
        <v>2013</v>
      </c>
      <c r="O237" s="32">
        <f>VLOOKUP(Data!N284, CPI!$A$2:$B$112, 2, 0)</f>
        <v>232.95699999999999</v>
      </c>
      <c r="P237" s="32" t="s">
        <v>245</v>
      </c>
      <c r="Q237" s="32" t="s">
        <v>250</v>
      </c>
      <c r="R237" s="32" t="s">
        <v>554</v>
      </c>
      <c r="S237" s="32">
        <v>4140000</v>
      </c>
      <c r="T237" s="32" t="s">
        <v>300</v>
      </c>
      <c r="U237" s="32">
        <f t="shared" si="11"/>
        <v>743.80165289256195</v>
      </c>
      <c r="V237" s="32" t="s">
        <v>316</v>
      </c>
      <c r="X237" s="32">
        <f t="shared" si="9"/>
        <v>743.80165289256195</v>
      </c>
      <c r="Y237" s="32">
        <f>(CPI!$B$112/O237)*X237</f>
        <v>972.79356382479978</v>
      </c>
      <c r="Z237" s="38" t="s">
        <v>262</v>
      </c>
      <c r="AA237" s="35" t="s">
        <v>1447</v>
      </c>
      <c r="AB237" s="32">
        <v>5566</v>
      </c>
      <c r="AC237" s="32" t="s">
        <v>1446</v>
      </c>
      <c r="AH237" s="32" t="s">
        <v>411</v>
      </c>
      <c r="AK237" s="40" t="s">
        <v>536</v>
      </c>
      <c r="AL237" s="32">
        <v>2014</v>
      </c>
      <c r="AM237" s="32" t="s">
        <v>537</v>
      </c>
      <c r="AN237" s="32" t="s">
        <v>538</v>
      </c>
      <c r="AO237" s="38" t="s">
        <v>539</v>
      </c>
      <c r="AP237" s="35" t="s">
        <v>396</v>
      </c>
    </row>
    <row r="238" spans="1:42" x14ac:dyDescent="0.2">
      <c r="A238" s="40">
        <v>23</v>
      </c>
      <c r="B238" s="40">
        <v>237</v>
      </c>
      <c r="C238" s="40" t="s">
        <v>149</v>
      </c>
      <c r="D238" s="38" t="s">
        <v>148</v>
      </c>
      <c r="E238" s="32" t="s">
        <v>2184</v>
      </c>
      <c r="F238" s="32" t="s">
        <v>131</v>
      </c>
      <c r="G238" s="38" t="s">
        <v>133</v>
      </c>
      <c r="H238" s="32" t="s">
        <v>30</v>
      </c>
      <c r="I238" s="32" t="s">
        <v>243</v>
      </c>
      <c r="J238" s="32" t="s">
        <v>541</v>
      </c>
      <c r="K238" s="32" t="s">
        <v>129</v>
      </c>
      <c r="L238" s="32" t="s">
        <v>30</v>
      </c>
      <c r="M238" s="32" t="s">
        <v>30</v>
      </c>
      <c r="N238" s="40">
        <v>2013</v>
      </c>
      <c r="O238" s="32">
        <f>VLOOKUP(Data!N285, CPI!$A$2:$B$112, 2, 0)</f>
        <v>232.95699999999999</v>
      </c>
      <c r="P238" s="32" t="s">
        <v>238</v>
      </c>
      <c r="Q238" s="32" t="s">
        <v>250</v>
      </c>
      <c r="R238" s="32" t="s">
        <v>555</v>
      </c>
      <c r="S238" s="32">
        <v>13040000</v>
      </c>
      <c r="T238" s="32" t="s">
        <v>300</v>
      </c>
      <c r="U238" s="32">
        <f t="shared" si="11"/>
        <v>2342.7955443765723</v>
      </c>
      <c r="V238" s="32" t="s">
        <v>316</v>
      </c>
      <c r="X238" s="32">
        <f t="shared" si="9"/>
        <v>2342.7955443765723</v>
      </c>
      <c r="Y238" s="32">
        <f>(CPI!$B$112/O238)*X238</f>
        <v>3064.0647517573407</v>
      </c>
      <c r="Z238" s="38" t="s">
        <v>262</v>
      </c>
      <c r="AA238" s="35" t="s">
        <v>1447</v>
      </c>
      <c r="AB238" s="32">
        <v>5566</v>
      </c>
      <c r="AC238" s="32" t="s">
        <v>1446</v>
      </c>
      <c r="AH238" s="32" t="s">
        <v>411</v>
      </c>
      <c r="AK238" s="40" t="s">
        <v>536</v>
      </c>
      <c r="AL238" s="32">
        <v>2014</v>
      </c>
      <c r="AM238" s="32" t="s">
        <v>537</v>
      </c>
      <c r="AN238" s="32" t="s">
        <v>538</v>
      </c>
      <c r="AO238" s="38" t="s">
        <v>539</v>
      </c>
      <c r="AP238" s="35" t="s">
        <v>396</v>
      </c>
    </row>
    <row r="239" spans="1:42" x14ac:dyDescent="0.2">
      <c r="A239" s="40">
        <v>23</v>
      </c>
      <c r="B239" s="40">
        <v>238</v>
      </c>
      <c r="C239" s="40" t="s">
        <v>149</v>
      </c>
      <c r="D239" s="38" t="s">
        <v>148</v>
      </c>
      <c r="E239" s="32" t="s">
        <v>2887</v>
      </c>
      <c r="F239" s="32" t="s">
        <v>121</v>
      </c>
      <c r="G239" s="38" t="s">
        <v>123</v>
      </c>
      <c r="H239" s="32" t="s">
        <v>30</v>
      </c>
      <c r="I239" s="32" t="s">
        <v>243</v>
      </c>
      <c r="J239" s="32" t="s">
        <v>541</v>
      </c>
      <c r="K239" s="32" t="s">
        <v>129</v>
      </c>
      <c r="L239" s="32" t="s">
        <v>30</v>
      </c>
      <c r="M239" s="32" t="s">
        <v>30</v>
      </c>
      <c r="N239" s="40">
        <v>2013</v>
      </c>
      <c r="O239" s="32">
        <f>VLOOKUP(Data!N286, CPI!$A$2:$B$112, 2, 0)</f>
        <v>232.95699999999999</v>
      </c>
      <c r="P239" s="32" t="s">
        <v>238</v>
      </c>
      <c r="Q239" s="32" t="s">
        <v>250</v>
      </c>
      <c r="R239" s="32" t="s">
        <v>556</v>
      </c>
      <c r="S239" s="32">
        <v>2030000</v>
      </c>
      <c r="T239" s="32" t="s">
        <v>300</v>
      </c>
      <c r="U239" s="32">
        <f t="shared" si="11"/>
        <v>364.71433704635285</v>
      </c>
      <c r="V239" s="32" t="s">
        <v>316</v>
      </c>
      <c r="X239" s="32">
        <f t="shared" si="9"/>
        <v>364.71433704635285</v>
      </c>
      <c r="Y239" s="32">
        <f>(CPI!$B$112/O239)*X239</f>
        <v>476.99781028124244</v>
      </c>
      <c r="Z239" s="38" t="s">
        <v>262</v>
      </c>
      <c r="AA239" s="35" t="s">
        <v>1447</v>
      </c>
      <c r="AB239" s="32">
        <v>5566</v>
      </c>
      <c r="AC239" s="32" t="s">
        <v>1446</v>
      </c>
      <c r="AH239" s="32" t="s">
        <v>411</v>
      </c>
      <c r="AK239" s="40" t="s">
        <v>536</v>
      </c>
      <c r="AL239" s="32">
        <v>2014</v>
      </c>
      <c r="AM239" s="32" t="s">
        <v>537</v>
      </c>
      <c r="AN239" s="32" t="s">
        <v>538</v>
      </c>
      <c r="AO239" s="38" t="s">
        <v>539</v>
      </c>
      <c r="AP239" s="35" t="s">
        <v>396</v>
      </c>
    </row>
    <row r="240" spans="1:42" x14ac:dyDescent="0.2">
      <c r="A240" s="40">
        <v>23</v>
      </c>
      <c r="B240" s="40">
        <v>239</v>
      </c>
      <c r="C240" s="40" t="s">
        <v>149</v>
      </c>
      <c r="D240" s="38" t="s">
        <v>148</v>
      </c>
      <c r="E240" s="32" t="s">
        <v>2186</v>
      </c>
      <c r="F240" s="32" t="s">
        <v>29</v>
      </c>
      <c r="G240" s="38" t="s">
        <v>29</v>
      </c>
      <c r="H240" s="32" t="s">
        <v>30</v>
      </c>
      <c r="I240" s="32" t="s">
        <v>243</v>
      </c>
      <c r="J240" s="32" t="s">
        <v>541</v>
      </c>
      <c r="K240" s="32" t="s">
        <v>129</v>
      </c>
      <c r="L240" s="32" t="s">
        <v>30</v>
      </c>
      <c r="M240" s="32" t="s">
        <v>30</v>
      </c>
      <c r="N240" s="40">
        <v>2013</v>
      </c>
      <c r="O240" s="32">
        <f>VLOOKUP(Data!N287, CPI!$A$2:$B$112, 2, 0)</f>
        <v>240.00700000000001</v>
      </c>
      <c r="P240" s="32" t="s">
        <v>134</v>
      </c>
      <c r="Q240" s="32" t="s">
        <v>250</v>
      </c>
      <c r="R240" s="32" t="s">
        <v>557</v>
      </c>
      <c r="S240" s="32">
        <v>61010000</v>
      </c>
      <c r="T240" s="32" t="s">
        <v>300</v>
      </c>
      <c r="U240" s="32">
        <f t="shared" si="11"/>
        <v>10961.192957240388</v>
      </c>
      <c r="V240" s="32" t="s">
        <v>316</v>
      </c>
      <c r="X240" s="32">
        <f t="shared" si="9"/>
        <v>10961.192957240388</v>
      </c>
      <c r="Y240" s="32">
        <f>(CPI!$B$112/O240)*X240</f>
        <v>13914.680181556747</v>
      </c>
      <c r="Z240" s="38" t="s">
        <v>262</v>
      </c>
      <c r="AA240" s="35" t="s">
        <v>1447</v>
      </c>
      <c r="AB240" s="32">
        <v>5566</v>
      </c>
      <c r="AC240" s="32" t="s">
        <v>1446</v>
      </c>
      <c r="AH240" s="32" t="s">
        <v>411</v>
      </c>
      <c r="AK240" s="40" t="s">
        <v>536</v>
      </c>
      <c r="AL240" s="32">
        <v>2014</v>
      </c>
      <c r="AM240" s="32" t="s">
        <v>537</v>
      </c>
      <c r="AN240" s="32" t="s">
        <v>538</v>
      </c>
      <c r="AO240" s="38" t="s">
        <v>539</v>
      </c>
      <c r="AP240" s="35" t="s">
        <v>396</v>
      </c>
    </row>
    <row r="241" spans="1:42" x14ac:dyDescent="0.2">
      <c r="A241" s="40">
        <v>24</v>
      </c>
      <c r="B241" s="40">
        <v>240</v>
      </c>
      <c r="C241" s="40" t="s">
        <v>241</v>
      </c>
      <c r="D241" s="38" t="s">
        <v>240</v>
      </c>
      <c r="E241" s="32" t="s">
        <v>2186</v>
      </c>
      <c r="F241" s="32" t="s">
        <v>21</v>
      </c>
      <c r="G241" s="38" t="s">
        <v>163</v>
      </c>
      <c r="H241" s="32" t="s">
        <v>30</v>
      </c>
      <c r="I241" s="32" t="s">
        <v>243</v>
      </c>
      <c r="J241" s="32" t="s">
        <v>560</v>
      </c>
      <c r="K241" s="32" t="s">
        <v>129</v>
      </c>
      <c r="L241" s="32" t="s">
        <v>559</v>
      </c>
      <c r="M241" s="32" t="s">
        <v>558</v>
      </c>
      <c r="N241" s="40">
        <v>2021</v>
      </c>
      <c r="O241" s="32">
        <f>VLOOKUP(Data!N288, CPI!$A$2:$B$112, 2, 0)</f>
        <v>240.00700000000001</v>
      </c>
      <c r="P241" s="32" t="s">
        <v>122</v>
      </c>
      <c r="Q241" s="32" t="s">
        <v>4</v>
      </c>
      <c r="R241" s="32" t="s">
        <v>562</v>
      </c>
      <c r="S241" s="32">
        <v>9.1</v>
      </c>
      <c r="T241" s="32" t="s">
        <v>362</v>
      </c>
      <c r="U241" s="32">
        <f>(S241*99119)/AB241</f>
        <v>19.161079328797182</v>
      </c>
      <c r="V241" s="32" t="s">
        <v>316</v>
      </c>
      <c r="X241" s="32">
        <f t="shared" si="9"/>
        <v>19.161079328797182</v>
      </c>
      <c r="Y241" s="32">
        <f>(CPI!$B$112/O241)*X241</f>
        <v>24.324021284337984</v>
      </c>
      <c r="Z241" s="38" t="s">
        <v>262</v>
      </c>
      <c r="AA241" s="35" t="s">
        <v>1446</v>
      </c>
      <c r="AB241" s="32">
        <v>47073.7</v>
      </c>
      <c r="AC241" s="32" t="s">
        <v>2279</v>
      </c>
      <c r="AE241" s="32">
        <v>99119</v>
      </c>
      <c r="AF241" s="32" t="s">
        <v>2286</v>
      </c>
      <c r="AH241" s="32" t="s">
        <v>411</v>
      </c>
      <c r="AI241" s="32" t="s">
        <v>1364</v>
      </c>
      <c r="AJ241" s="35" t="s">
        <v>2280</v>
      </c>
      <c r="AK241" s="40" t="s">
        <v>564</v>
      </c>
      <c r="AL241" s="32">
        <v>2021</v>
      </c>
      <c r="AM241" s="32" t="s">
        <v>565</v>
      </c>
      <c r="AN241" s="32" t="s">
        <v>566</v>
      </c>
      <c r="AO241" s="38" t="s">
        <v>567</v>
      </c>
      <c r="AP241" s="35" t="s">
        <v>396</v>
      </c>
    </row>
    <row r="242" spans="1:42" x14ac:dyDescent="0.2">
      <c r="A242" s="40">
        <v>24</v>
      </c>
      <c r="B242" s="40">
        <v>241</v>
      </c>
      <c r="C242" s="40" t="s">
        <v>241</v>
      </c>
      <c r="D242" s="38" t="s">
        <v>240</v>
      </c>
      <c r="E242" s="32" t="s">
        <v>2887</v>
      </c>
      <c r="F242" s="32" t="s">
        <v>10</v>
      </c>
      <c r="G242" s="38" t="s">
        <v>19</v>
      </c>
      <c r="H242" s="32" t="s">
        <v>30</v>
      </c>
      <c r="I242" s="32" t="s">
        <v>243</v>
      </c>
      <c r="J242" s="32" t="s">
        <v>560</v>
      </c>
      <c r="K242" s="32" t="s">
        <v>129</v>
      </c>
      <c r="L242" s="32" t="s">
        <v>559</v>
      </c>
      <c r="M242" s="32" t="s">
        <v>558</v>
      </c>
      <c r="N242" s="40">
        <v>2021</v>
      </c>
      <c r="O242" s="32">
        <f>VLOOKUP(Data!N289, CPI!$A$2:$B$112, 2, 0)</f>
        <v>240.00700000000001</v>
      </c>
      <c r="P242" s="32" t="s">
        <v>122</v>
      </c>
      <c r="Q242" s="32" t="s">
        <v>4</v>
      </c>
      <c r="R242" s="32" t="s">
        <v>561</v>
      </c>
      <c r="S242" s="32">
        <v>7.43</v>
      </c>
      <c r="T242" s="32" t="s">
        <v>362</v>
      </c>
      <c r="U242" s="32">
        <f>(S242*99119)/AB242</f>
        <v>15.644705429995941</v>
      </c>
      <c r="V242" s="32" t="s">
        <v>316</v>
      </c>
      <c r="X242" s="32">
        <f t="shared" si="9"/>
        <v>15.644705429995941</v>
      </c>
      <c r="Y242" s="32">
        <f>(CPI!$B$112/O242)*X242</f>
        <v>19.860162433256178</v>
      </c>
      <c r="Z242" s="38" t="s">
        <v>262</v>
      </c>
      <c r="AA242" s="35" t="s">
        <v>1446</v>
      </c>
      <c r="AB242" s="32">
        <v>47073.7</v>
      </c>
      <c r="AC242" s="32" t="s">
        <v>2279</v>
      </c>
      <c r="AE242" s="32">
        <v>99119</v>
      </c>
      <c r="AF242" s="32" t="s">
        <v>2286</v>
      </c>
      <c r="AH242" s="32" t="s">
        <v>411</v>
      </c>
      <c r="AJ242" s="35" t="s">
        <v>2280</v>
      </c>
      <c r="AK242" s="40" t="s">
        <v>564</v>
      </c>
      <c r="AL242" s="32">
        <v>2021</v>
      </c>
      <c r="AM242" s="32" t="s">
        <v>565</v>
      </c>
      <c r="AN242" s="32" t="s">
        <v>566</v>
      </c>
      <c r="AO242" s="38" t="s">
        <v>567</v>
      </c>
      <c r="AP242" s="35" t="s">
        <v>396</v>
      </c>
    </row>
    <row r="243" spans="1:42" x14ac:dyDescent="0.2">
      <c r="A243" s="40">
        <v>24</v>
      </c>
      <c r="B243" s="40">
        <v>242</v>
      </c>
      <c r="C243" s="40" t="s">
        <v>241</v>
      </c>
      <c r="D243" s="38" t="s">
        <v>240</v>
      </c>
      <c r="E243" s="32" t="s">
        <v>2185</v>
      </c>
      <c r="F243" s="32" t="s">
        <v>2894</v>
      </c>
      <c r="G243" s="38" t="s">
        <v>142</v>
      </c>
      <c r="H243" s="32" t="s">
        <v>30</v>
      </c>
      <c r="I243" s="32" t="s">
        <v>243</v>
      </c>
      <c r="J243" s="32" t="s">
        <v>560</v>
      </c>
      <c r="K243" s="32" t="s">
        <v>129</v>
      </c>
      <c r="L243" s="32" t="s">
        <v>559</v>
      </c>
      <c r="M243" s="32" t="s">
        <v>558</v>
      </c>
      <c r="N243" s="40">
        <v>2021</v>
      </c>
      <c r="O243" s="32">
        <f>VLOOKUP(Data!N290, CPI!$A$2:$B$112, 2, 0)</f>
        <v>240.00700000000001</v>
      </c>
      <c r="P243" s="32" t="s">
        <v>122</v>
      </c>
      <c r="Q243" s="32" t="s">
        <v>4</v>
      </c>
      <c r="R243" s="32" t="s">
        <v>563</v>
      </c>
      <c r="S243" s="32">
        <v>11.14</v>
      </c>
      <c r="T243" s="32" t="s">
        <v>362</v>
      </c>
      <c r="U243" s="32">
        <f>(S243*99119)/AB243</f>
        <v>23.456530079428646</v>
      </c>
      <c r="V243" s="32" t="s">
        <v>316</v>
      </c>
      <c r="X243" s="32">
        <f t="shared" si="9"/>
        <v>23.456530079428646</v>
      </c>
      <c r="Y243" s="32">
        <f>(CPI!$B$112/O243)*X243</f>
        <v>29.776878803024751</v>
      </c>
      <c r="Z243" s="38" t="s">
        <v>262</v>
      </c>
      <c r="AA243" s="35" t="s">
        <v>1446</v>
      </c>
      <c r="AB243" s="32">
        <v>47073.7</v>
      </c>
      <c r="AC243" s="32" t="s">
        <v>2279</v>
      </c>
      <c r="AE243" s="32">
        <v>99119</v>
      </c>
      <c r="AF243" s="32" t="s">
        <v>2286</v>
      </c>
      <c r="AH243" s="32" t="s">
        <v>411</v>
      </c>
      <c r="AJ243" s="35" t="s">
        <v>2280</v>
      </c>
      <c r="AK243" s="40" t="s">
        <v>564</v>
      </c>
      <c r="AL243" s="32">
        <v>2021</v>
      </c>
      <c r="AM243" s="32" t="s">
        <v>565</v>
      </c>
      <c r="AN243" s="32" t="s">
        <v>566</v>
      </c>
      <c r="AO243" s="38" t="s">
        <v>567</v>
      </c>
      <c r="AP243" s="35" t="s">
        <v>396</v>
      </c>
    </row>
    <row r="244" spans="1:42" x14ac:dyDescent="0.2">
      <c r="A244" s="40">
        <v>25</v>
      </c>
      <c r="B244" s="40">
        <v>243</v>
      </c>
      <c r="C244" s="40" t="s">
        <v>249</v>
      </c>
      <c r="D244" s="38" t="s">
        <v>170</v>
      </c>
      <c r="E244" s="32" t="s">
        <v>2887</v>
      </c>
      <c r="F244" s="32" t="s">
        <v>121</v>
      </c>
      <c r="G244" s="38" t="s">
        <v>123</v>
      </c>
      <c r="H244" s="32" t="s">
        <v>151</v>
      </c>
      <c r="I244" s="32" t="s">
        <v>243</v>
      </c>
      <c r="J244" s="32" t="s">
        <v>568</v>
      </c>
      <c r="K244" s="32" t="s">
        <v>129</v>
      </c>
      <c r="L244" s="32" t="s">
        <v>576</v>
      </c>
      <c r="M244" s="32" t="s">
        <v>577</v>
      </c>
      <c r="N244" s="40">
        <v>2007</v>
      </c>
      <c r="O244" s="32">
        <f>VLOOKUP(Data!N291, CPI!$A$2:$B$112, 2, 0)</f>
        <v>240.00700000000001</v>
      </c>
      <c r="P244" s="32" t="s">
        <v>238</v>
      </c>
      <c r="Q244" s="32" t="s">
        <v>239</v>
      </c>
      <c r="R244" s="32" t="s">
        <v>574</v>
      </c>
      <c r="S244" s="32">
        <v>189.9</v>
      </c>
      <c r="T244" s="32" t="s">
        <v>362</v>
      </c>
      <c r="U244" s="32">
        <f>(S244*(SUM(AE239:AE243))/AB244)</f>
        <v>1298.680406986331</v>
      </c>
      <c r="V244" s="32" t="s">
        <v>316</v>
      </c>
      <c r="X244" s="32">
        <f t="shared" si="9"/>
        <v>1298.680406986331</v>
      </c>
      <c r="Y244" s="32">
        <f>(CPI!$B$112/O244)*X244</f>
        <v>1648.6091059397127</v>
      </c>
      <c r="Z244" s="38" t="s">
        <v>262</v>
      </c>
      <c r="AA244" s="35" t="s">
        <v>1464</v>
      </c>
      <c r="AB244" s="32">
        <f>230450/5.3</f>
        <v>43481.132075471702</v>
      </c>
      <c r="AC244" s="32" t="s">
        <v>2287</v>
      </c>
      <c r="AE244" s="32">
        <v>933</v>
      </c>
      <c r="AF244" s="32" t="s">
        <v>2281</v>
      </c>
      <c r="AH244" s="32" t="s">
        <v>411</v>
      </c>
      <c r="AJ244" s="35" t="s">
        <v>2288</v>
      </c>
      <c r="AK244" s="40" t="s">
        <v>578</v>
      </c>
      <c r="AL244" s="32">
        <v>2008</v>
      </c>
      <c r="AM244" s="32" t="s">
        <v>579</v>
      </c>
      <c r="AN244" s="32" t="s">
        <v>580</v>
      </c>
      <c r="AO244" s="38" t="s">
        <v>581</v>
      </c>
      <c r="AP244" s="35" t="s">
        <v>396</v>
      </c>
    </row>
    <row r="245" spans="1:42" x14ac:dyDescent="0.2">
      <c r="A245" s="40">
        <v>25</v>
      </c>
      <c r="B245" s="40">
        <v>244</v>
      </c>
      <c r="C245" s="40" t="s">
        <v>249</v>
      </c>
      <c r="D245" s="38" t="s">
        <v>170</v>
      </c>
      <c r="E245" s="32" t="s">
        <v>2887</v>
      </c>
      <c r="F245" s="32" t="s">
        <v>121</v>
      </c>
      <c r="G245" s="38" t="s">
        <v>123</v>
      </c>
      <c r="H245" s="32" t="s">
        <v>151</v>
      </c>
      <c r="I245" s="32" t="s">
        <v>243</v>
      </c>
      <c r="J245" s="32" t="s">
        <v>568</v>
      </c>
      <c r="K245" s="32" t="s">
        <v>129</v>
      </c>
      <c r="L245" s="32" t="s">
        <v>576</v>
      </c>
      <c r="M245" s="32" t="s">
        <v>577</v>
      </c>
      <c r="N245" s="40">
        <v>2007</v>
      </c>
      <c r="O245" s="32">
        <f>VLOOKUP(Data!N292, CPI!$A$2:$B$112, 2, 0)</f>
        <v>240.00700000000001</v>
      </c>
      <c r="P245" s="32" t="s">
        <v>238</v>
      </c>
      <c r="Q245" s="32" t="s">
        <v>239</v>
      </c>
      <c r="R245" s="32" t="s">
        <v>575</v>
      </c>
      <c r="S245" s="32">
        <v>5.3</v>
      </c>
      <c r="T245" s="32" t="s">
        <v>316</v>
      </c>
      <c r="U245" s="32">
        <v>5.3</v>
      </c>
      <c r="V245" s="32" t="s">
        <v>316</v>
      </c>
      <c r="X245" s="32">
        <f t="shared" si="9"/>
        <v>5.3</v>
      </c>
      <c r="Y245" s="32">
        <f>(CPI!$B$112/O245)*X245</f>
        <v>6.7280819934418581</v>
      </c>
      <c r="Z245" s="38" t="s">
        <v>262</v>
      </c>
      <c r="AA245" s="35" t="s">
        <v>2281</v>
      </c>
      <c r="AB245" s="32">
        <f>230450/5.3</f>
        <v>43481.132075471702</v>
      </c>
      <c r="AC245" s="32" t="s">
        <v>2287</v>
      </c>
      <c r="AE245" s="32">
        <v>933</v>
      </c>
      <c r="AF245" s="32" t="s">
        <v>2281</v>
      </c>
      <c r="AH245" s="32" t="s">
        <v>411</v>
      </c>
      <c r="AJ245" s="35" t="s">
        <v>2288</v>
      </c>
      <c r="AK245" s="40" t="s">
        <v>578</v>
      </c>
      <c r="AL245" s="32">
        <v>2008</v>
      </c>
      <c r="AM245" s="32" t="s">
        <v>579</v>
      </c>
      <c r="AN245" s="32" t="s">
        <v>580</v>
      </c>
      <c r="AO245" s="38" t="s">
        <v>581</v>
      </c>
      <c r="AP245" s="35" t="s">
        <v>396</v>
      </c>
    </row>
    <row r="246" spans="1:42" x14ac:dyDescent="0.2">
      <c r="A246" s="40">
        <v>25</v>
      </c>
      <c r="B246" s="40">
        <v>245</v>
      </c>
      <c r="C246" s="40" t="s">
        <v>249</v>
      </c>
      <c r="D246" s="38" t="s">
        <v>170</v>
      </c>
      <c r="E246" s="32" t="s">
        <v>2887</v>
      </c>
      <c r="F246" s="32" t="s">
        <v>121</v>
      </c>
      <c r="G246" s="38" t="s">
        <v>123</v>
      </c>
      <c r="H246" s="32" t="s">
        <v>151</v>
      </c>
      <c r="I246" s="32" t="s">
        <v>243</v>
      </c>
      <c r="J246" s="32" t="s">
        <v>568</v>
      </c>
      <c r="K246" s="32" t="s">
        <v>129</v>
      </c>
      <c r="L246" s="32" t="s">
        <v>576</v>
      </c>
      <c r="M246" s="32" t="s">
        <v>577</v>
      </c>
      <c r="N246" s="40">
        <v>2007</v>
      </c>
      <c r="O246" s="32">
        <f>VLOOKUP(Data!N1364, CPI!$A$2:$B$112, 2, 0)</f>
        <v>109.6</v>
      </c>
      <c r="P246" s="32" t="s">
        <v>238</v>
      </c>
      <c r="Q246" s="32" t="s">
        <v>239</v>
      </c>
      <c r="R246" s="32" t="s">
        <v>569</v>
      </c>
      <c r="S246" s="32">
        <v>107</v>
      </c>
      <c r="T246" s="32" t="s">
        <v>362</v>
      </c>
      <c r="Z246" s="38" t="s">
        <v>262</v>
      </c>
      <c r="AA246" s="35" t="s">
        <v>1464</v>
      </c>
      <c r="AB246" s="32" t="s">
        <v>30</v>
      </c>
      <c r="AC246" s="32" t="s">
        <v>1464</v>
      </c>
      <c r="AE246" s="32">
        <v>87</v>
      </c>
      <c r="AF246" s="32" t="s">
        <v>1425</v>
      </c>
      <c r="AK246" s="40" t="s">
        <v>578</v>
      </c>
      <c r="AL246" s="32">
        <v>2008</v>
      </c>
      <c r="AM246" s="32" t="s">
        <v>579</v>
      </c>
      <c r="AN246" s="32" t="s">
        <v>580</v>
      </c>
      <c r="AO246" s="38" t="s">
        <v>581</v>
      </c>
      <c r="AP246" s="35" t="s">
        <v>396</v>
      </c>
    </row>
    <row r="247" spans="1:42" x14ac:dyDescent="0.2">
      <c r="A247" s="40">
        <v>25</v>
      </c>
      <c r="B247" s="40">
        <v>246</v>
      </c>
      <c r="C247" s="40" t="s">
        <v>249</v>
      </c>
      <c r="D247" s="38" t="s">
        <v>170</v>
      </c>
      <c r="E247" s="32" t="s">
        <v>2887</v>
      </c>
      <c r="F247" s="32" t="s">
        <v>121</v>
      </c>
      <c r="G247" s="38" t="s">
        <v>123</v>
      </c>
      <c r="H247" s="32" t="s">
        <v>151</v>
      </c>
      <c r="I247" s="32" t="s">
        <v>243</v>
      </c>
      <c r="J247" s="32" t="s">
        <v>568</v>
      </c>
      <c r="K247" s="32" t="s">
        <v>129</v>
      </c>
      <c r="L247" s="32" t="s">
        <v>576</v>
      </c>
      <c r="M247" s="32" t="s">
        <v>577</v>
      </c>
      <c r="N247" s="40">
        <v>2007</v>
      </c>
      <c r="O247" s="32">
        <f>VLOOKUP(Data!N1365, CPI!$A$2:$B$112, 2, 0)</f>
        <v>109.6</v>
      </c>
      <c r="P247" s="32" t="s">
        <v>238</v>
      </c>
      <c r="Q247" s="32" t="s">
        <v>239</v>
      </c>
      <c r="R247" s="32" t="s">
        <v>570</v>
      </c>
      <c r="S247" s="32">
        <v>392.4</v>
      </c>
      <c r="T247" s="32" t="s">
        <v>362</v>
      </c>
      <c r="Z247" s="38" t="s">
        <v>262</v>
      </c>
      <c r="AA247" s="35" t="s">
        <v>1464</v>
      </c>
      <c r="AB247" s="32" t="s">
        <v>30</v>
      </c>
      <c r="AC247" s="32" t="s">
        <v>1464</v>
      </c>
      <c r="AE247" s="32">
        <v>206</v>
      </c>
      <c r="AF247" s="32" t="s">
        <v>1425</v>
      </c>
      <c r="AK247" s="40" t="s">
        <v>578</v>
      </c>
      <c r="AL247" s="32">
        <v>2008</v>
      </c>
      <c r="AM247" s="32" t="s">
        <v>579</v>
      </c>
      <c r="AN247" s="32" t="s">
        <v>580</v>
      </c>
      <c r="AO247" s="38" t="s">
        <v>581</v>
      </c>
      <c r="AP247" s="35" t="s">
        <v>396</v>
      </c>
    </row>
    <row r="248" spans="1:42" x14ac:dyDescent="0.2">
      <c r="A248" s="40">
        <v>25</v>
      </c>
      <c r="B248" s="40">
        <v>247</v>
      </c>
      <c r="C248" s="40" t="s">
        <v>249</v>
      </c>
      <c r="D248" s="38" t="s">
        <v>170</v>
      </c>
      <c r="E248" s="32" t="s">
        <v>2887</v>
      </c>
      <c r="F248" s="32" t="s">
        <v>121</v>
      </c>
      <c r="G248" s="38" t="s">
        <v>123</v>
      </c>
      <c r="H248" s="32" t="s">
        <v>151</v>
      </c>
      <c r="I248" s="32" t="s">
        <v>243</v>
      </c>
      <c r="J248" s="32" t="s">
        <v>568</v>
      </c>
      <c r="K248" s="32" t="s">
        <v>129</v>
      </c>
      <c r="L248" s="32" t="s">
        <v>576</v>
      </c>
      <c r="M248" s="32" t="s">
        <v>577</v>
      </c>
      <c r="N248" s="40">
        <v>2007</v>
      </c>
      <c r="O248" s="32">
        <f>VLOOKUP(Data!N1366, CPI!$A$2:$B$112, 2, 0)</f>
        <v>109.6</v>
      </c>
      <c r="P248" s="32" t="s">
        <v>238</v>
      </c>
      <c r="Q248" s="32" t="s">
        <v>239</v>
      </c>
      <c r="R248" s="32" t="s">
        <v>571</v>
      </c>
      <c r="S248" s="32">
        <v>251.6</v>
      </c>
      <c r="T248" s="32" t="s">
        <v>362</v>
      </c>
      <c r="Z248" s="38" t="s">
        <v>262</v>
      </c>
      <c r="AA248" s="35" t="s">
        <v>1464</v>
      </c>
      <c r="AB248" s="32" t="s">
        <v>30</v>
      </c>
      <c r="AC248" s="32" t="s">
        <v>1464</v>
      </c>
      <c r="AE248" s="32">
        <v>321</v>
      </c>
      <c r="AF248" s="32" t="s">
        <v>1425</v>
      </c>
      <c r="AK248" s="40" t="s">
        <v>578</v>
      </c>
      <c r="AL248" s="32">
        <v>2008</v>
      </c>
      <c r="AM248" s="32" t="s">
        <v>579</v>
      </c>
      <c r="AN248" s="32" t="s">
        <v>580</v>
      </c>
      <c r="AO248" s="38" t="s">
        <v>581</v>
      </c>
      <c r="AP248" s="35" t="s">
        <v>396</v>
      </c>
    </row>
    <row r="249" spans="1:42" x14ac:dyDescent="0.2">
      <c r="A249" s="40">
        <v>25</v>
      </c>
      <c r="B249" s="40">
        <v>248</v>
      </c>
      <c r="C249" s="40" t="s">
        <v>249</v>
      </c>
      <c r="D249" s="38" t="s">
        <v>170</v>
      </c>
      <c r="E249" s="32" t="s">
        <v>2887</v>
      </c>
      <c r="F249" s="32" t="s">
        <v>121</v>
      </c>
      <c r="G249" s="38" t="s">
        <v>123</v>
      </c>
      <c r="H249" s="32" t="s">
        <v>151</v>
      </c>
      <c r="I249" s="32" t="s">
        <v>243</v>
      </c>
      <c r="J249" s="32" t="s">
        <v>568</v>
      </c>
      <c r="K249" s="32" t="s">
        <v>129</v>
      </c>
      <c r="L249" s="32" t="s">
        <v>576</v>
      </c>
      <c r="M249" s="32" t="s">
        <v>577</v>
      </c>
      <c r="N249" s="40">
        <v>2007</v>
      </c>
      <c r="O249" s="32">
        <f>VLOOKUP(Data!N1367, CPI!$A$2:$B$112, 2, 0)</f>
        <v>109.6</v>
      </c>
      <c r="P249" s="32" t="s">
        <v>238</v>
      </c>
      <c r="Q249" s="32" t="s">
        <v>239</v>
      </c>
      <c r="R249" s="32" t="s">
        <v>572</v>
      </c>
      <c r="S249" s="32">
        <v>67.5</v>
      </c>
      <c r="T249" s="32" t="s">
        <v>362</v>
      </c>
      <c r="Z249" s="38" t="s">
        <v>262</v>
      </c>
      <c r="AA249" s="35" t="s">
        <v>1464</v>
      </c>
      <c r="AB249" s="32" t="s">
        <v>30</v>
      </c>
      <c r="AC249" s="32" t="s">
        <v>1464</v>
      </c>
      <c r="AE249" s="32">
        <v>146</v>
      </c>
      <c r="AF249" s="32" t="s">
        <v>1425</v>
      </c>
      <c r="AK249" s="40" t="s">
        <v>578</v>
      </c>
      <c r="AL249" s="32">
        <v>2008</v>
      </c>
      <c r="AM249" s="32" t="s">
        <v>579</v>
      </c>
      <c r="AN249" s="32" t="s">
        <v>580</v>
      </c>
      <c r="AO249" s="38" t="s">
        <v>581</v>
      </c>
      <c r="AP249" s="35" t="s">
        <v>396</v>
      </c>
    </row>
    <row r="250" spans="1:42" x14ac:dyDescent="0.2">
      <c r="A250" s="40">
        <v>25</v>
      </c>
      <c r="B250" s="40">
        <v>249</v>
      </c>
      <c r="C250" s="40" t="s">
        <v>249</v>
      </c>
      <c r="D250" s="38" t="s">
        <v>170</v>
      </c>
      <c r="E250" s="32" t="s">
        <v>2887</v>
      </c>
      <c r="F250" s="32" t="s">
        <v>121</v>
      </c>
      <c r="G250" s="38" t="s">
        <v>123</v>
      </c>
      <c r="H250" s="32" t="s">
        <v>151</v>
      </c>
      <c r="I250" s="32" t="s">
        <v>243</v>
      </c>
      <c r="J250" s="32" t="s">
        <v>568</v>
      </c>
      <c r="K250" s="32" t="s">
        <v>129</v>
      </c>
      <c r="L250" s="32" t="s">
        <v>576</v>
      </c>
      <c r="M250" s="32" t="s">
        <v>577</v>
      </c>
      <c r="N250" s="40">
        <v>2007</v>
      </c>
      <c r="O250" s="32">
        <f>VLOOKUP(Data!N1368, CPI!$A$2:$B$112, 2, 0)</f>
        <v>109.6</v>
      </c>
      <c r="P250" s="32" t="s">
        <v>238</v>
      </c>
      <c r="Q250" s="32" t="s">
        <v>239</v>
      </c>
      <c r="R250" s="32" t="s">
        <v>573</v>
      </c>
      <c r="S250" s="32">
        <v>122.9</v>
      </c>
      <c r="T250" s="32" t="s">
        <v>362</v>
      </c>
      <c r="Z250" s="38" t="s">
        <v>262</v>
      </c>
      <c r="AA250" s="35" t="s">
        <v>1464</v>
      </c>
      <c r="AB250" s="32" t="s">
        <v>30</v>
      </c>
      <c r="AC250" s="32" t="s">
        <v>1464</v>
      </c>
      <c r="AE250" s="32">
        <v>173</v>
      </c>
      <c r="AF250" s="32" t="s">
        <v>1425</v>
      </c>
      <c r="AK250" s="40" t="s">
        <v>578</v>
      </c>
      <c r="AL250" s="32">
        <v>2008</v>
      </c>
      <c r="AM250" s="32" t="s">
        <v>579</v>
      </c>
      <c r="AN250" s="32" t="s">
        <v>580</v>
      </c>
      <c r="AO250" s="38" t="s">
        <v>581</v>
      </c>
      <c r="AP250" s="35" t="s">
        <v>396</v>
      </c>
    </row>
    <row r="251" spans="1:42" x14ac:dyDescent="0.2">
      <c r="A251" s="40">
        <v>26</v>
      </c>
      <c r="B251" s="40">
        <v>250</v>
      </c>
      <c r="C251" s="40" t="s">
        <v>149</v>
      </c>
      <c r="D251" s="38" t="s">
        <v>148</v>
      </c>
      <c r="E251" s="32" t="s">
        <v>2887</v>
      </c>
      <c r="F251" s="32" t="s">
        <v>121</v>
      </c>
      <c r="G251" s="38" t="s">
        <v>123</v>
      </c>
      <c r="H251" s="32" t="s">
        <v>242</v>
      </c>
      <c r="I251" s="32" t="s">
        <v>243</v>
      </c>
      <c r="J251" s="32" t="s">
        <v>582</v>
      </c>
      <c r="K251" s="32" t="s">
        <v>129</v>
      </c>
      <c r="L251" s="32" t="s">
        <v>30</v>
      </c>
      <c r="M251" s="32" t="s">
        <v>30</v>
      </c>
      <c r="N251" s="40">
        <v>2008</v>
      </c>
      <c r="O251" s="32">
        <f>VLOOKUP(Data!N293, CPI!$A$2:$B$112, 2, 0)</f>
        <v>240.00700000000001</v>
      </c>
      <c r="P251" s="32" t="s">
        <v>238</v>
      </c>
      <c r="Q251" s="32" t="s">
        <v>239</v>
      </c>
      <c r="R251" s="32" t="s">
        <v>583</v>
      </c>
      <c r="S251" s="32">
        <v>4744</v>
      </c>
      <c r="T251" s="32" t="s">
        <v>300</v>
      </c>
      <c r="U251" s="32">
        <f>S251/AB251</f>
        <v>0.11295238095238096</v>
      </c>
      <c r="V251" s="32" t="s">
        <v>316</v>
      </c>
      <c r="X251" s="32">
        <f>U251</f>
        <v>0.11295238095238096</v>
      </c>
      <c r="Y251" s="32">
        <f>(CPI!$B$112/O251)*X251</f>
        <v>0.14338733592492442</v>
      </c>
      <c r="Z251" s="38" t="s">
        <v>262</v>
      </c>
      <c r="AA251" s="35" t="s">
        <v>2289</v>
      </c>
      <c r="AB251" s="32">
        <v>42000</v>
      </c>
      <c r="AC251" s="32" t="s">
        <v>2289</v>
      </c>
      <c r="AH251" s="32" t="s">
        <v>411</v>
      </c>
      <c r="AJ251" s="35" t="s">
        <v>2278</v>
      </c>
      <c r="AK251" s="40" t="s">
        <v>585</v>
      </c>
      <c r="AL251" s="32">
        <v>2012</v>
      </c>
      <c r="AM251" s="32" t="s">
        <v>586</v>
      </c>
      <c r="AN251" s="32" t="s">
        <v>587</v>
      </c>
      <c r="AO251" s="38" t="s">
        <v>588</v>
      </c>
      <c r="AP251" s="35" t="s">
        <v>396</v>
      </c>
    </row>
    <row r="252" spans="1:42" x14ac:dyDescent="0.2">
      <c r="A252" s="40">
        <v>26</v>
      </c>
      <c r="B252" s="40">
        <v>251</v>
      </c>
      <c r="C252" s="40" t="s">
        <v>149</v>
      </c>
      <c r="D252" s="38" t="s">
        <v>148</v>
      </c>
      <c r="E252" s="32" t="s">
        <v>2887</v>
      </c>
      <c r="F252" s="32" t="s">
        <v>121</v>
      </c>
      <c r="G252" s="38" t="s">
        <v>123</v>
      </c>
      <c r="H252" s="32" t="s">
        <v>242</v>
      </c>
      <c r="I252" s="32" t="s">
        <v>243</v>
      </c>
      <c r="J252" s="32" t="s">
        <v>582</v>
      </c>
      <c r="K252" s="32" t="s">
        <v>129</v>
      </c>
      <c r="L252" s="32" t="s">
        <v>30</v>
      </c>
      <c r="M252" s="32" t="s">
        <v>30</v>
      </c>
      <c r="N252" s="40">
        <v>2008</v>
      </c>
      <c r="O252" s="32">
        <f>VLOOKUP(Data!N294, CPI!$A$2:$B$112, 2, 0)</f>
        <v>240.00700000000001</v>
      </c>
      <c r="P252" s="32" t="s">
        <v>238</v>
      </c>
      <c r="Q252" s="32" t="s">
        <v>239</v>
      </c>
      <c r="R252" s="32" t="s">
        <v>584</v>
      </c>
      <c r="S252" s="32">
        <v>637</v>
      </c>
      <c r="T252" s="32" t="s">
        <v>300</v>
      </c>
      <c r="U252" s="32">
        <f>S252/AB252</f>
        <v>1.5166666666666667E-2</v>
      </c>
      <c r="V252" s="32" t="s">
        <v>316</v>
      </c>
      <c r="X252" s="32">
        <f>U252</f>
        <v>1.5166666666666667E-2</v>
      </c>
      <c r="Y252" s="32">
        <f>(CPI!$B$112/O252)*X252</f>
        <v>1.9253316396327328E-2</v>
      </c>
      <c r="Z252" s="38" t="s">
        <v>262</v>
      </c>
      <c r="AA252" s="35" t="s">
        <v>2289</v>
      </c>
      <c r="AB252" s="32">
        <v>42000</v>
      </c>
      <c r="AC252" s="32" t="s">
        <v>2289</v>
      </c>
      <c r="AH252" s="32" t="s">
        <v>411</v>
      </c>
      <c r="AJ252" s="35" t="s">
        <v>2278</v>
      </c>
      <c r="AK252" s="40" t="s">
        <v>585</v>
      </c>
      <c r="AL252" s="32">
        <v>2012</v>
      </c>
      <c r="AM252" s="32" t="s">
        <v>586</v>
      </c>
      <c r="AN252" s="32" t="s">
        <v>587</v>
      </c>
      <c r="AO252" s="38" t="s">
        <v>588</v>
      </c>
      <c r="AP252" s="35" t="s">
        <v>396</v>
      </c>
    </row>
    <row r="253" spans="1:42" x14ac:dyDescent="0.2">
      <c r="A253" s="40">
        <v>27</v>
      </c>
      <c r="B253" s="40">
        <v>252</v>
      </c>
      <c r="C253" s="40" t="s">
        <v>357</v>
      </c>
      <c r="D253" s="38" t="s">
        <v>165</v>
      </c>
      <c r="E253" s="32" t="s">
        <v>2184</v>
      </c>
      <c r="F253" s="32" t="s">
        <v>145</v>
      </c>
      <c r="G253" s="38" t="s">
        <v>146</v>
      </c>
      <c r="H253" s="32" t="s">
        <v>151</v>
      </c>
      <c r="I253" s="32" t="s">
        <v>243</v>
      </c>
      <c r="J253" s="32" t="s">
        <v>589</v>
      </c>
      <c r="K253" s="32" t="s">
        <v>129</v>
      </c>
      <c r="L253" s="32" t="s">
        <v>30</v>
      </c>
      <c r="M253" s="32" t="s">
        <v>30</v>
      </c>
      <c r="N253" s="40">
        <v>2007</v>
      </c>
      <c r="O253" s="32">
        <f>VLOOKUP(Data!N295, CPI!$A$2:$B$112, 2, 0)</f>
        <v>240.00700000000001</v>
      </c>
      <c r="P253" s="32" t="s">
        <v>21</v>
      </c>
      <c r="Q253" s="32" t="s">
        <v>239</v>
      </c>
      <c r="R253" s="32" t="s">
        <v>591</v>
      </c>
      <c r="S253" s="32">
        <v>13300000</v>
      </c>
      <c r="T253" s="32" t="s">
        <v>300</v>
      </c>
      <c r="U253" s="32">
        <f>S253/AB253</f>
        <v>13.3</v>
      </c>
      <c r="V253" s="32" t="s">
        <v>316</v>
      </c>
      <c r="X253" s="32">
        <f>U253</f>
        <v>13.3</v>
      </c>
      <c r="Y253" s="32">
        <f>(CPI!$B$112/O253)*X253</f>
        <v>16.883677455240889</v>
      </c>
      <c r="Z253" s="38" t="s">
        <v>262</v>
      </c>
      <c r="AA253" s="35" t="s">
        <v>2290</v>
      </c>
      <c r="AB253" s="32">
        <v>1000000</v>
      </c>
      <c r="AC253" s="32" t="s">
        <v>2291</v>
      </c>
      <c r="AH253" s="32" t="s">
        <v>411</v>
      </c>
      <c r="AJ253" s="35" t="s">
        <v>2278</v>
      </c>
      <c r="AK253" s="40" t="s">
        <v>593</v>
      </c>
      <c r="AL253" s="32">
        <v>2007</v>
      </c>
      <c r="AM253" s="32" t="s">
        <v>594</v>
      </c>
      <c r="AN253" s="32" t="s">
        <v>595</v>
      </c>
      <c r="AP253" s="35" t="s">
        <v>396</v>
      </c>
    </row>
    <row r="254" spans="1:42" x14ac:dyDescent="0.2">
      <c r="A254" s="40">
        <v>27</v>
      </c>
      <c r="B254" s="40">
        <v>253</v>
      </c>
      <c r="C254" s="40" t="s">
        <v>357</v>
      </c>
      <c r="D254" s="38" t="s">
        <v>165</v>
      </c>
      <c r="E254" s="32" t="s">
        <v>2184</v>
      </c>
      <c r="F254" s="32" t="s">
        <v>145</v>
      </c>
      <c r="G254" s="38" t="s">
        <v>146</v>
      </c>
      <c r="H254" s="32" t="s">
        <v>151</v>
      </c>
      <c r="I254" s="32" t="s">
        <v>243</v>
      </c>
      <c r="J254" s="32" t="s">
        <v>589</v>
      </c>
      <c r="K254" s="32" t="s">
        <v>129</v>
      </c>
      <c r="L254" s="32" t="s">
        <v>30</v>
      </c>
      <c r="M254" s="32" t="s">
        <v>30</v>
      </c>
      <c r="N254" s="40">
        <v>2007</v>
      </c>
      <c r="O254" s="32">
        <f>VLOOKUP(Data!N1369, CPI!$A$2:$B$112, 2, 0)</f>
        <v>109.6</v>
      </c>
      <c r="P254" s="32" t="s">
        <v>21</v>
      </c>
      <c r="Q254" s="32" t="s">
        <v>239</v>
      </c>
      <c r="R254" s="32" t="s">
        <v>592</v>
      </c>
      <c r="S254" s="32">
        <v>33</v>
      </c>
      <c r="T254" s="32" t="s">
        <v>590</v>
      </c>
      <c r="Z254" s="38" t="s">
        <v>262</v>
      </c>
      <c r="AA254" s="35" t="s">
        <v>2290</v>
      </c>
      <c r="AB254" s="32">
        <v>1000000</v>
      </c>
      <c r="AH254" s="32" t="s">
        <v>411</v>
      </c>
      <c r="AK254" s="40" t="s">
        <v>593</v>
      </c>
      <c r="AL254" s="32">
        <v>2007</v>
      </c>
      <c r="AM254" s="32" t="s">
        <v>594</v>
      </c>
      <c r="AN254" s="32" t="s">
        <v>595</v>
      </c>
      <c r="AP254" s="35" t="s">
        <v>396</v>
      </c>
    </row>
    <row r="255" spans="1:42" x14ac:dyDescent="0.2">
      <c r="A255" s="40">
        <v>28</v>
      </c>
      <c r="B255" s="40">
        <v>254</v>
      </c>
      <c r="C255" s="40" t="s">
        <v>249</v>
      </c>
      <c r="D255" s="38" t="s">
        <v>168</v>
      </c>
      <c r="E255" s="32" t="s">
        <v>2186</v>
      </c>
      <c r="F255" s="32" t="s">
        <v>29</v>
      </c>
      <c r="G255" s="38" t="s">
        <v>29</v>
      </c>
      <c r="H255" s="32" t="s">
        <v>242</v>
      </c>
      <c r="I255" s="32" t="s">
        <v>243</v>
      </c>
      <c r="J255" s="32" t="s">
        <v>2292</v>
      </c>
      <c r="K255" s="32" t="s">
        <v>129</v>
      </c>
      <c r="L255" s="32" t="s">
        <v>30</v>
      </c>
      <c r="M255" s="32" t="s">
        <v>30</v>
      </c>
      <c r="N255" s="32">
        <v>2017</v>
      </c>
      <c r="O255" s="32">
        <f>VLOOKUP(Data!N296, CPI!$A$2:$B$112, 2, 0)</f>
        <v>240.00700000000001</v>
      </c>
      <c r="P255" s="32" t="s">
        <v>238</v>
      </c>
      <c r="Q255" s="32" t="s">
        <v>239</v>
      </c>
      <c r="R255" s="32" t="s">
        <v>596</v>
      </c>
      <c r="S255" s="32">
        <v>281</v>
      </c>
      <c r="T255" s="32" t="s">
        <v>362</v>
      </c>
      <c r="U255" s="32">
        <f>(S255*AE255)/AB255</f>
        <v>0.15419777158774373</v>
      </c>
      <c r="V255" s="32" t="s">
        <v>316</v>
      </c>
      <c r="X255" s="32">
        <f t="shared" ref="X255:X267" si="12">U255</f>
        <v>0.15419777158774373</v>
      </c>
      <c r="Y255" s="32">
        <f>(CPI!$B$112/O255)*X255</f>
        <v>0.19574627366950173</v>
      </c>
      <c r="Z255" s="38" t="s">
        <v>262</v>
      </c>
      <c r="AA255" s="35" t="s">
        <v>1464</v>
      </c>
      <c r="AB255" s="32">
        <v>1795000</v>
      </c>
      <c r="AC255" s="43" t="s">
        <v>2266</v>
      </c>
      <c r="AE255" s="32">
        <v>985</v>
      </c>
      <c r="AF255" s="32" t="s">
        <v>1445</v>
      </c>
      <c r="AH255" s="32" t="s">
        <v>411</v>
      </c>
      <c r="AK255" s="40" t="s">
        <v>599</v>
      </c>
      <c r="AL255" s="32">
        <v>2019</v>
      </c>
      <c r="AM255" s="32" t="s">
        <v>600</v>
      </c>
      <c r="AN255" s="32" t="s">
        <v>601</v>
      </c>
      <c r="AO255" s="38" t="s">
        <v>602</v>
      </c>
      <c r="AP255" s="35" t="s">
        <v>396</v>
      </c>
    </row>
    <row r="256" spans="1:42" x14ac:dyDescent="0.2">
      <c r="A256" s="40">
        <v>28</v>
      </c>
      <c r="B256" s="40">
        <v>255</v>
      </c>
      <c r="C256" s="40" t="s">
        <v>249</v>
      </c>
      <c r="D256" s="38" t="s">
        <v>168</v>
      </c>
      <c r="E256" s="32" t="s">
        <v>2183</v>
      </c>
      <c r="F256" s="32" t="s">
        <v>237</v>
      </c>
      <c r="G256" s="36" t="s">
        <v>2907</v>
      </c>
      <c r="H256" s="32" t="s">
        <v>242</v>
      </c>
      <c r="I256" s="32" t="s">
        <v>243</v>
      </c>
      <c r="J256" s="32" t="s">
        <v>2292</v>
      </c>
      <c r="K256" s="32" t="s">
        <v>129</v>
      </c>
      <c r="L256" s="32" t="s">
        <v>30</v>
      </c>
      <c r="M256" s="32" t="s">
        <v>30</v>
      </c>
      <c r="N256" s="32">
        <v>2017</v>
      </c>
      <c r="O256" s="32">
        <f>VLOOKUP(Data!N297, CPI!$A$2:$B$112, 2, 0)</f>
        <v>240.00700000000001</v>
      </c>
      <c r="P256" s="32" t="s">
        <v>238</v>
      </c>
      <c r="Q256" s="32" t="s">
        <v>239</v>
      </c>
      <c r="R256" s="32" t="s">
        <v>597</v>
      </c>
      <c r="S256" s="32">
        <v>31</v>
      </c>
      <c r="T256" s="32" t="s">
        <v>362</v>
      </c>
      <c r="U256" s="32">
        <f>(S256*AE256)/AB256</f>
        <v>1.7011142061281338E-2</v>
      </c>
      <c r="V256" s="32" t="s">
        <v>316</v>
      </c>
      <c r="X256" s="32">
        <f t="shared" si="12"/>
        <v>1.7011142061281338E-2</v>
      </c>
      <c r="Y256" s="32">
        <f>(CPI!$B$112/O256)*X256</f>
        <v>2.159478463969592E-2</v>
      </c>
      <c r="Z256" s="38" t="s">
        <v>262</v>
      </c>
      <c r="AA256" s="35" t="s">
        <v>1464</v>
      </c>
      <c r="AB256" s="32">
        <v>1795000</v>
      </c>
      <c r="AC256" s="43" t="s">
        <v>2266</v>
      </c>
      <c r="AE256" s="32">
        <v>985</v>
      </c>
      <c r="AF256" s="32" t="s">
        <v>1445</v>
      </c>
      <c r="AH256" s="32" t="s">
        <v>411</v>
      </c>
      <c r="AK256" s="40" t="s">
        <v>599</v>
      </c>
      <c r="AL256" s="32">
        <v>2019</v>
      </c>
      <c r="AM256" s="32" t="s">
        <v>600</v>
      </c>
      <c r="AN256" s="32" t="s">
        <v>601</v>
      </c>
      <c r="AO256" s="38" t="s">
        <v>602</v>
      </c>
      <c r="AP256" s="35" t="s">
        <v>396</v>
      </c>
    </row>
    <row r="257" spans="1:42" x14ac:dyDescent="0.2">
      <c r="A257" s="40">
        <v>28</v>
      </c>
      <c r="B257" s="40">
        <v>256</v>
      </c>
      <c r="C257" s="40" t="s">
        <v>249</v>
      </c>
      <c r="D257" s="38" t="s">
        <v>168</v>
      </c>
      <c r="E257" s="32" t="s">
        <v>2186</v>
      </c>
      <c r="F257" s="32" t="s">
        <v>21</v>
      </c>
      <c r="G257" s="38" t="s">
        <v>163</v>
      </c>
      <c r="H257" s="32" t="s">
        <v>242</v>
      </c>
      <c r="I257" s="32" t="s">
        <v>243</v>
      </c>
      <c r="J257" s="32" t="s">
        <v>2292</v>
      </c>
      <c r="K257" s="32" t="s">
        <v>129</v>
      </c>
      <c r="L257" s="32" t="s">
        <v>30</v>
      </c>
      <c r="M257" s="32" t="s">
        <v>30</v>
      </c>
      <c r="N257" s="32">
        <v>2017</v>
      </c>
      <c r="O257" s="32">
        <f>VLOOKUP(Data!N298, CPI!$A$2:$B$112, 2, 0)</f>
        <v>240.00700000000001</v>
      </c>
      <c r="P257" s="32" t="s">
        <v>238</v>
      </c>
      <c r="Q257" s="32" t="s">
        <v>239</v>
      </c>
      <c r="R257" s="32" t="s">
        <v>598</v>
      </c>
      <c r="S257" s="32">
        <v>1924</v>
      </c>
      <c r="T257" s="32" t="s">
        <v>362</v>
      </c>
      <c r="U257" s="32">
        <f>(S257*AE257)/AB257</f>
        <v>1.0557883008356546</v>
      </c>
      <c r="V257" s="32" t="s">
        <v>316</v>
      </c>
      <c r="X257" s="32">
        <f t="shared" si="12"/>
        <v>1.0557883008356546</v>
      </c>
      <c r="Y257" s="32">
        <f>(CPI!$B$112/O257)*X257</f>
        <v>1.3402698595733855</v>
      </c>
      <c r="Z257" s="38" t="s">
        <v>262</v>
      </c>
      <c r="AA257" s="35" t="s">
        <v>1464</v>
      </c>
      <c r="AB257" s="32">
        <v>1795000</v>
      </c>
      <c r="AC257" s="43" t="s">
        <v>2266</v>
      </c>
      <c r="AE257" s="32">
        <v>985</v>
      </c>
      <c r="AF257" s="32" t="s">
        <v>1445</v>
      </c>
      <c r="AH257" s="32" t="s">
        <v>411</v>
      </c>
      <c r="AK257" s="40" t="s">
        <v>599</v>
      </c>
      <c r="AL257" s="32">
        <v>2019</v>
      </c>
      <c r="AM257" s="32" t="s">
        <v>600</v>
      </c>
      <c r="AN257" s="32" t="s">
        <v>601</v>
      </c>
      <c r="AO257" s="38" t="s">
        <v>602</v>
      </c>
      <c r="AP257" s="35" t="s">
        <v>396</v>
      </c>
    </row>
    <row r="258" spans="1:42" x14ac:dyDescent="0.2">
      <c r="A258" s="40">
        <v>28</v>
      </c>
      <c r="B258" s="40">
        <v>257</v>
      </c>
      <c r="C258" s="40" t="s">
        <v>249</v>
      </c>
      <c r="D258" s="38" t="s">
        <v>168</v>
      </c>
      <c r="E258" s="32" t="s">
        <v>2186</v>
      </c>
      <c r="F258" s="32" t="s">
        <v>29</v>
      </c>
      <c r="G258" s="38" t="s">
        <v>29</v>
      </c>
      <c r="H258" s="32" t="s">
        <v>242</v>
      </c>
      <c r="I258" s="32" t="s">
        <v>243</v>
      </c>
      <c r="J258" s="32" t="s">
        <v>2292</v>
      </c>
      <c r="K258" s="32" t="s">
        <v>129</v>
      </c>
      <c r="L258" s="32" t="s">
        <v>30</v>
      </c>
      <c r="M258" s="32" t="s">
        <v>30</v>
      </c>
      <c r="N258" s="32">
        <v>2017</v>
      </c>
      <c r="O258" s="32">
        <f>VLOOKUP(Data!N299, CPI!$A$2:$B$112, 2, 0)</f>
        <v>240.00700000000001</v>
      </c>
      <c r="P258" s="32" t="s">
        <v>238</v>
      </c>
      <c r="Q258" s="32" t="s">
        <v>239</v>
      </c>
      <c r="R258" s="32" t="s">
        <v>2293</v>
      </c>
      <c r="S258" s="32">
        <v>2236</v>
      </c>
      <c r="T258" s="32" t="s">
        <v>362</v>
      </c>
      <c r="U258" s="32">
        <f>(S258*AE258)/AB258</f>
        <v>1.2269972144846797</v>
      </c>
      <c r="V258" s="32" t="s">
        <v>316</v>
      </c>
      <c r="X258" s="32">
        <f t="shared" si="12"/>
        <v>1.2269972144846797</v>
      </c>
      <c r="Y258" s="32">
        <f>(CPI!$B$112/O258)*X258</f>
        <v>1.5576109178825832</v>
      </c>
      <c r="Z258" s="38" t="s">
        <v>262</v>
      </c>
      <c r="AA258" s="35" t="s">
        <v>1464</v>
      </c>
      <c r="AB258" s="32">
        <v>1795000</v>
      </c>
      <c r="AC258" s="43" t="s">
        <v>2266</v>
      </c>
      <c r="AE258" s="32">
        <v>985</v>
      </c>
      <c r="AF258" s="32" t="s">
        <v>1445</v>
      </c>
      <c r="AH258" s="32" t="s">
        <v>411</v>
      </c>
      <c r="AK258" s="40" t="s">
        <v>599</v>
      </c>
      <c r="AL258" s="32">
        <v>2019</v>
      </c>
      <c r="AM258" s="32" t="s">
        <v>600</v>
      </c>
      <c r="AN258" s="32" t="s">
        <v>601</v>
      </c>
      <c r="AO258" s="38" t="s">
        <v>602</v>
      </c>
      <c r="AP258" s="35" t="s">
        <v>396</v>
      </c>
    </row>
    <row r="259" spans="1:42" x14ac:dyDescent="0.2">
      <c r="A259" s="40">
        <v>29</v>
      </c>
      <c r="B259" s="40">
        <v>258</v>
      </c>
      <c r="C259" s="40" t="s">
        <v>149</v>
      </c>
      <c r="D259" s="38" t="s">
        <v>148</v>
      </c>
      <c r="E259" s="32" t="s">
        <v>2887</v>
      </c>
      <c r="F259" s="32" t="s">
        <v>52</v>
      </c>
      <c r="G259" s="38" t="s">
        <v>53</v>
      </c>
      <c r="H259" s="32" t="s">
        <v>151</v>
      </c>
      <c r="I259" s="32" t="s">
        <v>243</v>
      </c>
      <c r="J259" s="32" t="s">
        <v>348</v>
      </c>
      <c r="K259" s="32" t="s">
        <v>129</v>
      </c>
      <c r="L259" s="32" t="s">
        <v>614</v>
      </c>
      <c r="M259" s="32" t="s">
        <v>615</v>
      </c>
      <c r="N259" s="40">
        <v>2006</v>
      </c>
      <c r="O259" s="32">
        <f>VLOOKUP(Data!N300, CPI!$A$2:$B$112, 2, 0)</f>
        <v>240.00700000000001</v>
      </c>
      <c r="P259" s="32" t="s">
        <v>21</v>
      </c>
      <c r="Q259" s="32" t="s">
        <v>239</v>
      </c>
      <c r="R259" s="32" t="s">
        <v>2304</v>
      </c>
      <c r="S259" s="32">
        <v>770.23</v>
      </c>
      <c r="T259" s="32" t="s">
        <v>316</v>
      </c>
      <c r="U259" s="32">
        <v>770.23</v>
      </c>
      <c r="V259" s="32" t="s">
        <v>316</v>
      </c>
      <c r="X259" s="32">
        <f t="shared" si="12"/>
        <v>770.23</v>
      </c>
      <c r="Y259" s="32">
        <f>(CPI!$B$112/O259)*X259</f>
        <v>977.76803656768345</v>
      </c>
      <c r="Z259" s="38" t="s">
        <v>262</v>
      </c>
      <c r="AA259" s="35" t="s">
        <v>1446</v>
      </c>
      <c r="AB259" s="32">
        <v>700</v>
      </c>
      <c r="AC259" s="32" t="s">
        <v>1446</v>
      </c>
      <c r="AH259" s="32" t="s">
        <v>411</v>
      </c>
      <c r="AI259" s="32" t="s">
        <v>2305</v>
      </c>
      <c r="AK259" s="40" t="s">
        <v>610</v>
      </c>
      <c r="AL259" s="32">
        <v>2009</v>
      </c>
      <c r="AM259" s="32" t="s">
        <v>611</v>
      </c>
      <c r="AN259" s="32" t="s">
        <v>612</v>
      </c>
      <c r="AO259" s="38" t="s">
        <v>613</v>
      </c>
      <c r="AP259" s="35" t="s">
        <v>396</v>
      </c>
    </row>
    <row r="260" spans="1:42" x14ac:dyDescent="0.2">
      <c r="A260" s="40">
        <v>29</v>
      </c>
      <c r="B260" s="40">
        <v>259</v>
      </c>
      <c r="C260" s="40" t="s">
        <v>149</v>
      </c>
      <c r="D260" s="38" t="s">
        <v>148</v>
      </c>
      <c r="E260" s="32" t="s">
        <v>2183</v>
      </c>
      <c r="F260" s="32" t="s">
        <v>126</v>
      </c>
      <c r="G260" s="38" t="s">
        <v>152</v>
      </c>
      <c r="H260" s="32" t="s">
        <v>151</v>
      </c>
      <c r="I260" s="32" t="s">
        <v>243</v>
      </c>
      <c r="J260" s="32" t="s">
        <v>348</v>
      </c>
      <c r="K260" s="32" t="s">
        <v>129</v>
      </c>
      <c r="L260" s="32" t="s">
        <v>614</v>
      </c>
      <c r="M260" s="32" t="s">
        <v>615</v>
      </c>
      <c r="N260" s="40">
        <v>2006</v>
      </c>
      <c r="O260" s="32">
        <f>VLOOKUP(Data!N301, CPI!$A$2:$B$112, 2, 0)</f>
        <v>240.00700000000001</v>
      </c>
      <c r="P260" s="32" t="s">
        <v>238</v>
      </c>
      <c r="Q260" s="32" t="s">
        <v>172</v>
      </c>
      <c r="R260" s="32" t="s">
        <v>2300</v>
      </c>
      <c r="S260" s="32">
        <v>379.17</v>
      </c>
      <c r="T260" s="32" t="s">
        <v>316</v>
      </c>
      <c r="U260" s="32">
        <v>379.17</v>
      </c>
      <c r="V260" s="32" t="s">
        <v>316</v>
      </c>
      <c r="X260" s="32">
        <f t="shared" si="12"/>
        <v>379.17</v>
      </c>
      <c r="Y260" s="32">
        <f>(CPI!$B$112/O260)*X260</f>
        <v>481.33714140629235</v>
      </c>
      <c r="Z260" s="38" t="s">
        <v>262</v>
      </c>
      <c r="AA260" s="35" t="s">
        <v>1445</v>
      </c>
      <c r="AB260" s="32">
        <v>700</v>
      </c>
      <c r="AC260" s="32" t="s">
        <v>1446</v>
      </c>
      <c r="AH260" s="32" t="s">
        <v>411</v>
      </c>
      <c r="AK260" s="40" t="s">
        <v>610</v>
      </c>
      <c r="AL260" s="32">
        <v>2009</v>
      </c>
      <c r="AM260" s="32" t="s">
        <v>611</v>
      </c>
      <c r="AN260" s="32" t="s">
        <v>612</v>
      </c>
      <c r="AO260" s="38" t="s">
        <v>613</v>
      </c>
      <c r="AP260" s="35" t="s">
        <v>396</v>
      </c>
    </row>
    <row r="261" spans="1:42" x14ac:dyDescent="0.2">
      <c r="A261" s="40">
        <v>29</v>
      </c>
      <c r="B261" s="40">
        <v>260</v>
      </c>
      <c r="C261" s="40" t="s">
        <v>149</v>
      </c>
      <c r="D261" s="38" t="s">
        <v>148</v>
      </c>
      <c r="E261" s="32" t="s">
        <v>2183</v>
      </c>
      <c r="F261" s="32" t="s">
        <v>126</v>
      </c>
      <c r="G261" s="38" t="s">
        <v>152</v>
      </c>
      <c r="H261" s="32" t="s">
        <v>151</v>
      </c>
      <c r="I261" s="32" t="s">
        <v>243</v>
      </c>
      <c r="J261" s="32" t="s">
        <v>348</v>
      </c>
      <c r="K261" s="32" t="s">
        <v>129</v>
      </c>
      <c r="L261" s="32" t="s">
        <v>614</v>
      </c>
      <c r="M261" s="32" t="s">
        <v>615</v>
      </c>
      <c r="N261" s="40">
        <v>2006</v>
      </c>
      <c r="O261" s="32">
        <f>VLOOKUP(Data!N302, CPI!$A$2:$B$112, 2, 0)</f>
        <v>240.00700000000001</v>
      </c>
      <c r="P261" s="32" t="s">
        <v>238</v>
      </c>
      <c r="Q261" s="32" t="s">
        <v>172</v>
      </c>
      <c r="R261" s="32" t="s">
        <v>2303</v>
      </c>
      <c r="S261" s="32">
        <v>360.67</v>
      </c>
      <c r="T261" s="32" t="s">
        <v>316</v>
      </c>
      <c r="U261" s="32">
        <v>360.67</v>
      </c>
      <c r="V261" s="32" t="s">
        <v>316</v>
      </c>
      <c r="X261" s="32">
        <f t="shared" si="12"/>
        <v>360.67</v>
      </c>
      <c r="Y261" s="32">
        <f>(CPI!$B$112/O261)*X261</f>
        <v>457.85232690088208</v>
      </c>
      <c r="Z261" s="38" t="s">
        <v>262</v>
      </c>
      <c r="AA261" s="35" t="s">
        <v>1446</v>
      </c>
      <c r="AB261" s="32">
        <v>700</v>
      </c>
      <c r="AC261" s="32" t="s">
        <v>1446</v>
      </c>
      <c r="AH261" s="32" t="s">
        <v>411</v>
      </c>
      <c r="AK261" s="40" t="s">
        <v>610</v>
      </c>
      <c r="AL261" s="32">
        <v>2009</v>
      </c>
      <c r="AM261" s="32" t="s">
        <v>611</v>
      </c>
      <c r="AN261" s="32" t="s">
        <v>612</v>
      </c>
      <c r="AO261" s="38" t="s">
        <v>613</v>
      </c>
      <c r="AP261" s="35" t="s">
        <v>396</v>
      </c>
    </row>
    <row r="262" spans="1:42" x14ac:dyDescent="0.2">
      <c r="A262" s="40">
        <v>29</v>
      </c>
      <c r="B262" s="40">
        <v>261</v>
      </c>
      <c r="C262" s="40" t="s">
        <v>149</v>
      </c>
      <c r="D262" s="38" t="s">
        <v>148</v>
      </c>
      <c r="E262" s="32" t="s">
        <v>2183</v>
      </c>
      <c r="F262" s="32" t="s">
        <v>237</v>
      </c>
      <c r="G262" s="38" t="s">
        <v>154</v>
      </c>
      <c r="H262" s="32" t="s">
        <v>151</v>
      </c>
      <c r="I262" s="32" t="s">
        <v>243</v>
      </c>
      <c r="J262" s="32" t="s">
        <v>348</v>
      </c>
      <c r="K262" s="32" t="s">
        <v>129</v>
      </c>
      <c r="L262" s="32" t="s">
        <v>614</v>
      </c>
      <c r="M262" s="32" t="s">
        <v>615</v>
      </c>
      <c r="N262" s="40">
        <v>2006</v>
      </c>
      <c r="O262" s="32">
        <f>VLOOKUP(Data!N303, CPI!$A$2:$B$112, 2, 0)</f>
        <v>240.00700000000001</v>
      </c>
      <c r="P262" s="32" t="s">
        <v>238</v>
      </c>
      <c r="Q262" s="32" t="s">
        <v>239</v>
      </c>
      <c r="R262" s="32" t="s">
        <v>2295</v>
      </c>
      <c r="S262" s="32">
        <v>113.09</v>
      </c>
      <c r="T262" s="32" t="s">
        <v>316</v>
      </c>
      <c r="U262" s="32">
        <v>113.09</v>
      </c>
      <c r="V262" s="32" t="s">
        <v>316</v>
      </c>
      <c r="X262" s="32">
        <f t="shared" si="12"/>
        <v>113.09</v>
      </c>
      <c r="Y262" s="32">
        <f>(CPI!$B$112/O262)*X262</f>
        <v>143.56203634685656</v>
      </c>
      <c r="Z262" s="38" t="s">
        <v>262</v>
      </c>
      <c r="AA262" s="35" t="s">
        <v>1446</v>
      </c>
      <c r="AB262" s="32">
        <v>700</v>
      </c>
      <c r="AC262" s="32" t="s">
        <v>1446</v>
      </c>
      <c r="AH262" s="32" t="s">
        <v>411</v>
      </c>
      <c r="AK262" s="40" t="s">
        <v>610</v>
      </c>
      <c r="AL262" s="32">
        <v>2009</v>
      </c>
      <c r="AM262" s="32" t="s">
        <v>611</v>
      </c>
      <c r="AN262" s="32" t="s">
        <v>612</v>
      </c>
      <c r="AO262" s="38" t="s">
        <v>613</v>
      </c>
      <c r="AP262" s="35" t="s">
        <v>396</v>
      </c>
    </row>
    <row r="263" spans="1:42" x14ac:dyDescent="0.2">
      <c r="A263" s="40">
        <v>29</v>
      </c>
      <c r="B263" s="40">
        <v>262</v>
      </c>
      <c r="C263" s="40" t="s">
        <v>149</v>
      </c>
      <c r="D263" s="38" t="s">
        <v>148</v>
      </c>
      <c r="E263" s="32" t="s">
        <v>2184</v>
      </c>
      <c r="F263" s="32" t="s">
        <v>131</v>
      </c>
      <c r="G263" s="38" t="s">
        <v>133</v>
      </c>
      <c r="H263" s="32" t="s">
        <v>151</v>
      </c>
      <c r="I263" s="32" t="s">
        <v>243</v>
      </c>
      <c r="J263" s="32" t="s">
        <v>348</v>
      </c>
      <c r="K263" s="32" t="s">
        <v>129</v>
      </c>
      <c r="L263" s="32" t="s">
        <v>614</v>
      </c>
      <c r="M263" s="32" t="s">
        <v>615</v>
      </c>
      <c r="N263" s="40">
        <v>2006</v>
      </c>
      <c r="O263" s="32">
        <f>VLOOKUP(Data!N304, CPI!$A$2:$B$112, 2, 0)</f>
        <v>240.00700000000001</v>
      </c>
      <c r="P263" s="32" t="s">
        <v>238</v>
      </c>
      <c r="Q263" s="32" t="s">
        <v>239</v>
      </c>
      <c r="R263" s="32" t="s">
        <v>605</v>
      </c>
      <c r="S263" s="32">
        <v>44.42</v>
      </c>
      <c r="T263" s="32" t="s">
        <v>316</v>
      </c>
      <c r="U263" s="32">
        <v>44.42</v>
      </c>
      <c r="V263" s="32" t="s">
        <v>316</v>
      </c>
      <c r="X263" s="32">
        <f t="shared" si="12"/>
        <v>44.42</v>
      </c>
      <c r="Y263" s="32">
        <f>(CPI!$B$112/O263)*X263</f>
        <v>56.388943801639122</v>
      </c>
      <c r="Z263" s="38" t="s">
        <v>262</v>
      </c>
      <c r="AA263" s="35" t="s">
        <v>1446</v>
      </c>
      <c r="AB263" s="32">
        <v>700</v>
      </c>
      <c r="AC263" s="32" t="s">
        <v>1446</v>
      </c>
      <c r="AH263" s="32" t="s">
        <v>411</v>
      </c>
      <c r="AK263" s="40" t="s">
        <v>610</v>
      </c>
      <c r="AL263" s="32">
        <v>2009</v>
      </c>
      <c r="AM263" s="32" t="s">
        <v>611</v>
      </c>
      <c r="AN263" s="32" t="s">
        <v>612</v>
      </c>
      <c r="AO263" s="38" t="s">
        <v>613</v>
      </c>
      <c r="AP263" s="35" t="s">
        <v>396</v>
      </c>
    </row>
    <row r="264" spans="1:42" x14ac:dyDescent="0.2">
      <c r="A264" s="40">
        <v>29</v>
      </c>
      <c r="B264" s="40">
        <v>263</v>
      </c>
      <c r="C264" s="40" t="s">
        <v>149</v>
      </c>
      <c r="D264" s="38" t="s">
        <v>148</v>
      </c>
      <c r="E264" s="32" t="s">
        <v>2184</v>
      </c>
      <c r="F264" s="32" t="s">
        <v>145</v>
      </c>
      <c r="G264" s="38" t="s">
        <v>146</v>
      </c>
      <c r="H264" s="32" t="s">
        <v>151</v>
      </c>
      <c r="I264" s="32" t="s">
        <v>243</v>
      </c>
      <c r="J264" s="32" t="s">
        <v>348</v>
      </c>
      <c r="K264" s="32" t="s">
        <v>129</v>
      </c>
      <c r="L264" s="32" t="s">
        <v>614</v>
      </c>
      <c r="M264" s="32" t="s">
        <v>615</v>
      </c>
      <c r="N264" s="40">
        <v>2006</v>
      </c>
      <c r="O264" s="32">
        <f>VLOOKUP(Data!N305, CPI!$A$2:$B$112, 2, 0)</f>
        <v>240.00700000000001</v>
      </c>
      <c r="P264" s="32" t="s">
        <v>245</v>
      </c>
      <c r="Q264" s="32" t="s">
        <v>172</v>
      </c>
      <c r="R264" s="32" t="s">
        <v>2301</v>
      </c>
      <c r="S264" s="32">
        <v>1586.66</v>
      </c>
      <c r="T264" s="32" t="s">
        <v>316</v>
      </c>
      <c r="U264" s="32">
        <v>1586.66</v>
      </c>
      <c r="V264" s="32" t="s">
        <v>316</v>
      </c>
      <c r="X264" s="32">
        <f t="shared" si="12"/>
        <v>1586.66</v>
      </c>
      <c r="Y264" s="32">
        <f>(CPI!$B$112/O264)*X264</f>
        <v>2014.1846369272564</v>
      </c>
      <c r="Z264" s="38" t="s">
        <v>262</v>
      </c>
      <c r="AA264" s="35" t="s">
        <v>1446</v>
      </c>
      <c r="AB264" s="32">
        <f>S263/S264</f>
        <v>2.7995915949226676E-2</v>
      </c>
      <c r="AC264" s="32" t="s">
        <v>1446</v>
      </c>
      <c r="AH264" s="32" t="s">
        <v>411</v>
      </c>
      <c r="AK264" s="40" t="s">
        <v>610</v>
      </c>
      <c r="AL264" s="32">
        <v>2009</v>
      </c>
      <c r="AM264" s="32" t="s">
        <v>611</v>
      </c>
      <c r="AN264" s="32" t="s">
        <v>612</v>
      </c>
      <c r="AO264" s="38" t="s">
        <v>613</v>
      </c>
      <c r="AP264" s="35" t="s">
        <v>396</v>
      </c>
    </row>
    <row r="265" spans="1:42" x14ac:dyDescent="0.2">
      <c r="A265" s="40">
        <v>29</v>
      </c>
      <c r="B265" s="40">
        <v>264</v>
      </c>
      <c r="C265" s="40" t="s">
        <v>149</v>
      </c>
      <c r="D265" s="38" t="s">
        <v>148</v>
      </c>
      <c r="E265" s="32" t="s">
        <v>2887</v>
      </c>
      <c r="F265" s="32" t="s">
        <v>121</v>
      </c>
      <c r="G265" s="38" t="s">
        <v>159</v>
      </c>
      <c r="H265" s="32" t="s">
        <v>151</v>
      </c>
      <c r="I265" s="32" t="s">
        <v>243</v>
      </c>
      <c r="J265" s="32" t="s">
        <v>348</v>
      </c>
      <c r="K265" s="32" t="s">
        <v>129</v>
      </c>
      <c r="L265" s="32" t="s">
        <v>614</v>
      </c>
      <c r="M265" s="32" t="s">
        <v>615</v>
      </c>
      <c r="N265" s="40">
        <v>2006</v>
      </c>
      <c r="O265" s="32">
        <f>VLOOKUP(Data!N306, CPI!$A$2:$B$112, 2, 0)</f>
        <v>240.00700000000001</v>
      </c>
      <c r="P265" s="32" t="s">
        <v>238</v>
      </c>
      <c r="Q265" s="32" t="s">
        <v>239</v>
      </c>
      <c r="R265" s="32" t="s">
        <v>607</v>
      </c>
      <c r="S265" s="32">
        <v>9.3000000000000007</v>
      </c>
      <c r="T265" s="32" t="s">
        <v>316</v>
      </c>
      <c r="U265" s="32">
        <v>9.3000000000000007</v>
      </c>
      <c r="V265" s="32" t="s">
        <v>316</v>
      </c>
      <c r="X265" s="32">
        <f t="shared" si="12"/>
        <v>9.3000000000000007</v>
      </c>
      <c r="Y265" s="32">
        <f>(CPI!$B$112/O265)*X265</f>
        <v>11.805879724341374</v>
      </c>
      <c r="Z265" s="38" t="s">
        <v>262</v>
      </c>
      <c r="AA265" s="35" t="s">
        <v>1446</v>
      </c>
      <c r="AB265" s="32">
        <v>700</v>
      </c>
      <c r="AC265" s="32" t="s">
        <v>1446</v>
      </c>
      <c r="AH265" s="32" t="s">
        <v>411</v>
      </c>
      <c r="AK265" s="40" t="s">
        <v>610</v>
      </c>
      <c r="AL265" s="32">
        <v>2009</v>
      </c>
      <c r="AM265" s="32" t="s">
        <v>611</v>
      </c>
      <c r="AN265" s="32" t="s">
        <v>612</v>
      </c>
      <c r="AO265" s="38" t="s">
        <v>613</v>
      </c>
      <c r="AP265" s="35" t="s">
        <v>396</v>
      </c>
    </row>
    <row r="266" spans="1:42" x14ac:dyDescent="0.2">
      <c r="A266" s="40">
        <v>29</v>
      </c>
      <c r="B266" s="40">
        <v>265</v>
      </c>
      <c r="C266" s="40" t="s">
        <v>149</v>
      </c>
      <c r="D266" s="38" t="s">
        <v>148</v>
      </c>
      <c r="E266" s="32" t="s">
        <v>2183</v>
      </c>
      <c r="F266" s="32" t="s">
        <v>126</v>
      </c>
      <c r="G266" s="38" t="s">
        <v>153</v>
      </c>
      <c r="H266" s="32" t="s">
        <v>151</v>
      </c>
      <c r="I266" s="32" t="s">
        <v>243</v>
      </c>
      <c r="J266" s="32" t="s">
        <v>348</v>
      </c>
      <c r="K266" s="32" t="s">
        <v>129</v>
      </c>
      <c r="L266" s="32" t="s">
        <v>614</v>
      </c>
      <c r="M266" s="32" t="s">
        <v>615</v>
      </c>
      <c r="N266" s="40">
        <v>2006</v>
      </c>
      <c r="O266" s="32">
        <f>VLOOKUP(Data!N307, CPI!$A$2:$B$112, 2, 0)</f>
        <v>240.00700000000001</v>
      </c>
      <c r="P266" s="32" t="s">
        <v>238</v>
      </c>
      <c r="Q266" s="32" t="s">
        <v>239</v>
      </c>
      <c r="R266" s="32" t="s">
        <v>2302</v>
      </c>
      <c r="S266" s="32">
        <v>18.5</v>
      </c>
      <c r="T266" s="32" t="s">
        <v>316</v>
      </c>
      <c r="U266" s="32">
        <v>18.5</v>
      </c>
      <c r="V266" s="32" t="s">
        <v>316</v>
      </c>
      <c r="X266" s="32">
        <f t="shared" si="12"/>
        <v>18.5</v>
      </c>
      <c r="Y266" s="32">
        <f>(CPI!$B$112/O266)*X266</f>
        <v>23.484814505410259</v>
      </c>
      <c r="Z266" s="38" t="s">
        <v>262</v>
      </c>
      <c r="AA266" s="35" t="s">
        <v>1446</v>
      </c>
      <c r="AB266" s="32">
        <v>700</v>
      </c>
      <c r="AC266" s="32" t="s">
        <v>1446</v>
      </c>
      <c r="AH266" s="32" t="s">
        <v>411</v>
      </c>
      <c r="AK266" s="40" t="s">
        <v>610</v>
      </c>
      <c r="AL266" s="32">
        <v>2009</v>
      </c>
      <c r="AM266" s="32" t="s">
        <v>611</v>
      </c>
      <c r="AN266" s="32" t="s">
        <v>612</v>
      </c>
      <c r="AO266" s="38" t="s">
        <v>613</v>
      </c>
      <c r="AP266" s="35" t="s">
        <v>396</v>
      </c>
    </row>
    <row r="267" spans="1:42" x14ac:dyDescent="0.2">
      <c r="A267" s="40">
        <v>29</v>
      </c>
      <c r="B267" s="40">
        <v>266</v>
      </c>
      <c r="C267" s="40" t="s">
        <v>149</v>
      </c>
      <c r="D267" s="38" t="s">
        <v>148</v>
      </c>
      <c r="E267" s="32" t="s">
        <v>2887</v>
      </c>
      <c r="F267" s="32" t="s">
        <v>52</v>
      </c>
      <c r="G267" s="38" t="s">
        <v>53</v>
      </c>
      <c r="H267" s="32" t="s">
        <v>151</v>
      </c>
      <c r="I267" s="32" t="s">
        <v>243</v>
      </c>
      <c r="J267" s="32" t="s">
        <v>348</v>
      </c>
      <c r="K267" s="32" t="s">
        <v>129</v>
      </c>
      <c r="L267" s="32" t="s">
        <v>614</v>
      </c>
      <c r="M267" s="32" t="s">
        <v>615</v>
      </c>
      <c r="N267" s="40">
        <v>2006</v>
      </c>
      <c r="O267" s="32">
        <f>VLOOKUP(Data!N308, CPI!$A$2:$B$112, 2, 0)</f>
        <v>240.00700000000001</v>
      </c>
      <c r="P267" s="32" t="s">
        <v>134</v>
      </c>
      <c r="Q267" s="32" t="s">
        <v>134</v>
      </c>
      <c r="R267" s="32" t="s">
        <v>743</v>
      </c>
      <c r="S267" s="32">
        <v>2902.87</v>
      </c>
      <c r="T267" s="32" t="s">
        <v>316</v>
      </c>
      <c r="U267" s="32">
        <v>2902.87</v>
      </c>
      <c r="V267" s="32" t="s">
        <v>316</v>
      </c>
      <c r="X267" s="32">
        <f t="shared" si="12"/>
        <v>2902.87</v>
      </c>
      <c r="Y267" s="32">
        <f>(CPI!$B$112/O267)*X267</f>
        <v>3685.0466747740688</v>
      </c>
      <c r="Z267" s="38" t="s">
        <v>262</v>
      </c>
      <c r="AA267" s="35" t="s">
        <v>1446</v>
      </c>
      <c r="AB267" s="32">
        <v>700</v>
      </c>
      <c r="AC267" s="32" t="s">
        <v>1446</v>
      </c>
      <c r="AH267" s="32" t="s">
        <v>411</v>
      </c>
      <c r="AK267" s="40" t="s">
        <v>610</v>
      </c>
      <c r="AL267" s="32">
        <v>2009</v>
      </c>
      <c r="AM267" s="32" t="s">
        <v>611</v>
      </c>
      <c r="AN267" s="32" t="s">
        <v>612</v>
      </c>
      <c r="AO267" s="38" t="s">
        <v>613</v>
      </c>
      <c r="AP267" s="35" t="s">
        <v>396</v>
      </c>
    </row>
    <row r="268" spans="1:42" x14ac:dyDescent="0.2">
      <c r="A268" s="40">
        <v>29</v>
      </c>
      <c r="B268" s="40">
        <v>267</v>
      </c>
      <c r="C268" s="40" t="s">
        <v>149</v>
      </c>
      <c r="D268" s="38" t="s">
        <v>148</v>
      </c>
      <c r="E268" s="32" t="s">
        <v>2183</v>
      </c>
      <c r="F268" s="32" t="s">
        <v>126</v>
      </c>
      <c r="G268" s="38" t="s">
        <v>152</v>
      </c>
      <c r="H268" s="32" t="s">
        <v>151</v>
      </c>
      <c r="I268" s="32" t="s">
        <v>243</v>
      </c>
      <c r="J268" s="32" t="s">
        <v>348</v>
      </c>
      <c r="K268" s="32" t="s">
        <v>129</v>
      </c>
      <c r="L268" s="32" t="s">
        <v>614</v>
      </c>
      <c r="M268" s="32" t="s">
        <v>615</v>
      </c>
      <c r="N268" s="40">
        <v>2006</v>
      </c>
      <c r="O268" s="32">
        <f>VLOOKUP(Data!N1370, CPI!$A$2:$B$112, 2, 0)</f>
        <v>109.6</v>
      </c>
      <c r="P268" s="32" t="s">
        <v>238</v>
      </c>
      <c r="Q268" s="32" t="s">
        <v>172</v>
      </c>
      <c r="R268" s="32" t="s">
        <v>2300</v>
      </c>
      <c r="S268" s="32">
        <v>4328.2700000000004</v>
      </c>
      <c r="T268" s="32" t="s">
        <v>603</v>
      </c>
      <c r="Z268" s="38" t="s">
        <v>262</v>
      </c>
      <c r="AA268" s="35" t="s">
        <v>1445</v>
      </c>
      <c r="AB268" s="32">
        <v>700</v>
      </c>
      <c r="AC268" s="32" t="s">
        <v>1446</v>
      </c>
      <c r="AH268" s="32" t="s">
        <v>411</v>
      </c>
      <c r="AK268" s="40" t="s">
        <v>610</v>
      </c>
      <c r="AL268" s="32">
        <v>2009</v>
      </c>
      <c r="AM268" s="32" t="s">
        <v>611</v>
      </c>
      <c r="AN268" s="32" t="s">
        <v>612</v>
      </c>
      <c r="AO268" s="38" t="s">
        <v>613</v>
      </c>
      <c r="AP268" s="35" t="s">
        <v>396</v>
      </c>
    </row>
    <row r="269" spans="1:42" x14ac:dyDescent="0.2">
      <c r="A269" s="40">
        <v>29</v>
      </c>
      <c r="B269" s="40">
        <v>268</v>
      </c>
      <c r="C269" s="40" t="s">
        <v>149</v>
      </c>
      <c r="D269" s="38" t="s">
        <v>148</v>
      </c>
      <c r="E269" s="32" t="s">
        <v>2184</v>
      </c>
      <c r="F269" s="32" t="s">
        <v>131</v>
      </c>
      <c r="G269" s="38" t="s">
        <v>133</v>
      </c>
      <c r="H269" s="32" t="s">
        <v>151</v>
      </c>
      <c r="I269" s="32" t="s">
        <v>243</v>
      </c>
      <c r="J269" s="32" t="s">
        <v>348</v>
      </c>
      <c r="K269" s="32" t="s">
        <v>129</v>
      </c>
      <c r="L269" s="32" t="s">
        <v>614</v>
      </c>
      <c r="M269" s="32" t="s">
        <v>615</v>
      </c>
      <c r="N269" s="40">
        <v>2006</v>
      </c>
      <c r="O269" s="32">
        <f>VLOOKUP(Data!N1371, CPI!$A$2:$B$112, 2, 0)</f>
        <v>109.6</v>
      </c>
      <c r="P269" s="32" t="s">
        <v>238</v>
      </c>
      <c r="Q269" s="32" t="s">
        <v>172</v>
      </c>
      <c r="R269" s="32" t="s">
        <v>604</v>
      </c>
      <c r="S269" s="32">
        <v>533</v>
      </c>
      <c r="T269" s="32" t="s">
        <v>603</v>
      </c>
      <c r="Z269" s="38" t="s">
        <v>262</v>
      </c>
      <c r="AA269" s="35" t="s">
        <v>2296</v>
      </c>
      <c r="AB269" s="32">
        <v>700</v>
      </c>
      <c r="AC269" s="32" t="s">
        <v>1446</v>
      </c>
      <c r="AH269" s="32" t="s">
        <v>411</v>
      </c>
      <c r="AK269" s="40" t="s">
        <v>610</v>
      </c>
      <c r="AL269" s="32">
        <v>2009</v>
      </c>
      <c r="AM269" s="32" t="s">
        <v>611</v>
      </c>
      <c r="AN269" s="32" t="s">
        <v>612</v>
      </c>
      <c r="AO269" s="38" t="s">
        <v>613</v>
      </c>
      <c r="AP269" s="35" t="s">
        <v>396</v>
      </c>
    </row>
    <row r="270" spans="1:42" x14ac:dyDescent="0.2">
      <c r="A270" s="40">
        <v>29</v>
      </c>
      <c r="B270" s="40">
        <v>269</v>
      </c>
      <c r="C270" s="40" t="s">
        <v>149</v>
      </c>
      <c r="D270" s="38" t="s">
        <v>148</v>
      </c>
      <c r="E270" s="32" t="s">
        <v>2184</v>
      </c>
      <c r="F270" s="32" t="s">
        <v>145</v>
      </c>
      <c r="G270" s="38" t="s">
        <v>146</v>
      </c>
      <c r="H270" s="32" t="s">
        <v>151</v>
      </c>
      <c r="I270" s="32" t="s">
        <v>243</v>
      </c>
      <c r="J270" s="32" t="s">
        <v>348</v>
      </c>
      <c r="K270" s="32" t="s">
        <v>129</v>
      </c>
      <c r="L270" s="32" t="s">
        <v>614</v>
      </c>
      <c r="M270" s="32" t="s">
        <v>615</v>
      </c>
      <c r="N270" s="40">
        <v>2006</v>
      </c>
      <c r="O270" s="32">
        <f>VLOOKUP(Data!N1372, CPI!$A$2:$B$112, 2, 0)</f>
        <v>109.6</v>
      </c>
      <c r="P270" s="32" t="s">
        <v>245</v>
      </c>
      <c r="Q270" s="32" t="s">
        <v>172</v>
      </c>
      <c r="R270" s="32" t="s">
        <v>609</v>
      </c>
      <c r="S270" s="32">
        <v>333333</v>
      </c>
      <c r="T270" s="32" t="s">
        <v>608</v>
      </c>
      <c r="Z270" s="38" t="s">
        <v>262</v>
      </c>
      <c r="AA270" s="35" t="s">
        <v>2297</v>
      </c>
      <c r="AB270" s="32">
        <v>700</v>
      </c>
      <c r="AC270" s="32" t="s">
        <v>1446</v>
      </c>
      <c r="AH270" s="32" t="s">
        <v>411</v>
      </c>
      <c r="AK270" s="40" t="s">
        <v>610</v>
      </c>
      <c r="AL270" s="32">
        <v>2009</v>
      </c>
      <c r="AM270" s="32" t="s">
        <v>611</v>
      </c>
      <c r="AN270" s="32" t="s">
        <v>612</v>
      </c>
      <c r="AO270" s="38" t="s">
        <v>613</v>
      </c>
      <c r="AP270" s="35" t="s">
        <v>396</v>
      </c>
    </row>
    <row r="271" spans="1:42" x14ac:dyDescent="0.2">
      <c r="A271" s="40">
        <v>29</v>
      </c>
      <c r="B271" s="40">
        <v>270</v>
      </c>
      <c r="C271" s="40" t="s">
        <v>149</v>
      </c>
      <c r="D271" s="38" t="s">
        <v>148</v>
      </c>
      <c r="E271" s="32" t="s">
        <v>2887</v>
      </c>
      <c r="F271" s="32" t="s">
        <v>121</v>
      </c>
      <c r="G271" s="38" t="s">
        <v>159</v>
      </c>
      <c r="H271" s="32" t="s">
        <v>151</v>
      </c>
      <c r="I271" s="32" t="s">
        <v>243</v>
      </c>
      <c r="J271" s="32" t="s">
        <v>348</v>
      </c>
      <c r="K271" s="32" t="s">
        <v>129</v>
      </c>
      <c r="L271" s="32" t="s">
        <v>614</v>
      </c>
      <c r="M271" s="32" t="s">
        <v>615</v>
      </c>
      <c r="N271" s="40">
        <v>2006</v>
      </c>
      <c r="O271" s="32">
        <f>VLOOKUP(Data!N1373, CPI!$A$2:$B$112, 2, 0)</f>
        <v>109.6</v>
      </c>
      <c r="P271" s="32" t="s">
        <v>238</v>
      </c>
      <c r="Q271" s="32" t="s">
        <v>239</v>
      </c>
      <c r="R271" s="32" t="s">
        <v>606</v>
      </c>
      <c r="S271" s="32">
        <v>6500</v>
      </c>
      <c r="T271" s="32" t="s">
        <v>300</v>
      </c>
      <c r="Z271" s="38" t="s">
        <v>262</v>
      </c>
      <c r="AA271" s="35" t="s">
        <v>2297</v>
      </c>
      <c r="AB271" s="32">
        <v>700</v>
      </c>
      <c r="AC271" s="32" t="s">
        <v>1446</v>
      </c>
      <c r="AH271" s="32" t="s">
        <v>411</v>
      </c>
      <c r="AK271" s="40" t="s">
        <v>610</v>
      </c>
      <c r="AL271" s="32">
        <v>2009</v>
      </c>
      <c r="AM271" s="32" t="s">
        <v>611</v>
      </c>
      <c r="AN271" s="32" t="s">
        <v>612</v>
      </c>
      <c r="AO271" s="38" t="s">
        <v>613</v>
      </c>
      <c r="AP271" s="35" t="s">
        <v>396</v>
      </c>
    </row>
    <row r="272" spans="1:42" x14ac:dyDescent="0.2">
      <c r="A272" s="40">
        <v>29</v>
      </c>
      <c r="B272" s="40">
        <v>271</v>
      </c>
      <c r="C272" s="40" t="s">
        <v>149</v>
      </c>
      <c r="D272" s="38" t="s">
        <v>148</v>
      </c>
      <c r="E272" s="32" t="s">
        <v>2183</v>
      </c>
      <c r="F272" s="32" t="s">
        <v>126</v>
      </c>
      <c r="G272" s="38" t="s">
        <v>153</v>
      </c>
      <c r="H272" s="32" t="s">
        <v>151</v>
      </c>
      <c r="I272" s="32" t="s">
        <v>243</v>
      </c>
      <c r="J272" s="32" t="s">
        <v>348</v>
      </c>
      <c r="K272" s="32" t="s">
        <v>129</v>
      </c>
      <c r="L272" s="32" t="s">
        <v>614</v>
      </c>
      <c r="M272" s="32" t="s">
        <v>615</v>
      </c>
      <c r="N272" s="40">
        <v>2006</v>
      </c>
      <c r="O272" s="32">
        <f>VLOOKUP(Data!N1374, CPI!$A$2:$B$112, 2, 0)</f>
        <v>109.6</v>
      </c>
      <c r="P272" s="32" t="s">
        <v>238</v>
      </c>
      <c r="Q272" s="32" t="s">
        <v>239</v>
      </c>
      <c r="R272" s="32" t="s">
        <v>2299</v>
      </c>
      <c r="S272" s="32">
        <v>222.07</v>
      </c>
      <c r="T272" s="32" t="s">
        <v>603</v>
      </c>
      <c r="Z272" s="38" t="s">
        <v>262</v>
      </c>
      <c r="AA272" s="35" t="s">
        <v>2298</v>
      </c>
      <c r="AB272" s="32">
        <v>700</v>
      </c>
      <c r="AC272" s="32" t="s">
        <v>1446</v>
      </c>
      <c r="AH272" s="32" t="s">
        <v>411</v>
      </c>
      <c r="AK272" s="40" t="s">
        <v>610</v>
      </c>
      <c r="AL272" s="32">
        <v>2009</v>
      </c>
      <c r="AM272" s="32" t="s">
        <v>611</v>
      </c>
      <c r="AN272" s="32" t="s">
        <v>612</v>
      </c>
      <c r="AO272" s="38" t="s">
        <v>613</v>
      </c>
      <c r="AP272" s="35" t="s">
        <v>396</v>
      </c>
    </row>
    <row r="273" spans="1:42" x14ac:dyDescent="0.2">
      <c r="A273" s="40">
        <v>30</v>
      </c>
      <c r="B273" s="40">
        <v>272</v>
      </c>
      <c r="C273" s="40" t="s">
        <v>149</v>
      </c>
      <c r="D273" s="38" t="s">
        <v>148</v>
      </c>
      <c r="E273" s="32" t="s">
        <v>2184</v>
      </c>
      <c r="F273" s="32" t="s">
        <v>131</v>
      </c>
      <c r="G273" s="38" t="s">
        <v>133</v>
      </c>
      <c r="H273" s="32" t="s">
        <v>30</v>
      </c>
      <c r="I273" s="32" t="s">
        <v>232</v>
      </c>
      <c r="J273" s="32" t="s">
        <v>616</v>
      </c>
      <c r="K273" s="32" t="s">
        <v>129</v>
      </c>
      <c r="L273" s="32" t="s">
        <v>30</v>
      </c>
      <c r="M273" s="32" t="s">
        <v>30</v>
      </c>
      <c r="N273" s="40">
        <v>2021</v>
      </c>
      <c r="O273" s="32">
        <f>VLOOKUP(Data!N309, CPI!$A$2:$B$112, 2, 0)</f>
        <v>240.00700000000001</v>
      </c>
      <c r="P273" s="32" t="s">
        <v>238</v>
      </c>
      <c r="Q273" s="32" t="s">
        <v>239</v>
      </c>
      <c r="R273" s="32" t="s">
        <v>2307</v>
      </c>
      <c r="S273" s="32">
        <v>1300</v>
      </c>
      <c r="T273" s="32" t="s">
        <v>603</v>
      </c>
      <c r="U273" s="32">
        <v>1300</v>
      </c>
      <c r="V273" s="32" t="s">
        <v>316</v>
      </c>
      <c r="X273" s="32">
        <f>U273</f>
        <v>1300</v>
      </c>
      <c r="Y273" s="32">
        <f>(CPI!$B$112/O273)*X273</f>
        <v>1650.2842625423425</v>
      </c>
      <c r="Z273" s="38" t="s">
        <v>262</v>
      </c>
      <c r="AA273" s="35" t="s">
        <v>2306</v>
      </c>
      <c r="AB273" s="32" t="s">
        <v>30</v>
      </c>
      <c r="AH273" s="32" t="s">
        <v>411</v>
      </c>
      <c r="AK273" s="40" t="s">
        <v>617</v>
      </c>
      <c r="AL273" s="32">
        <v>2020</v>
      </c>
      <c r="AM273" s="32" t="s">
        <v>618</v>
      </c>
      <c r="AN273" s="32" t="s">
        <v>619</v>
      </c>
      <c r="AO273" s="38" t="s">
        <v>620</v>
      </c>
      <c r="AP273" s="35" t="s">
        <v>396</v>
      </c>
    </row>
    <row r="274" spans="1:42" x14ac:dyDescent="0.2">
      <c r="A274" s="40">
        <v>31</v>
      </c>
      <c r="B274" s="40">
        <v>273</v>
      </c>
      <c r="C274" s="51" t="s">
        <v>119</v>
      </c>
      <c r="D274" s="38" t="s">
        <v>128</v>
      </c>
      <c r="E274" s="32" t="s">
        <v>2185</v>
      </c>
      <c r="F274" s="32" t="s">
        <v>2894</v>
      </c>
      <c r="G274" s="38" t="s">
        <v>142</v>
      </c>
      <c r="H274" s="32" t="s">
        <v>151</v>
      </c>
      <c r="I274" s="32" t="s">
        <v>243</v>
      </c>
      <c r="J274" s="32" t="s">
        <v>622</v>
      </c>
      <c r="K274" s="32" t="s">
        <v>129</v>
      </c>
      <c r="L274" s="32" t="s">
        <v>30</v>
      </c>
      <c r="M274" s="32" t="s">
        <v>30</v>
      </c>
      <c r="N274" s="40">
        <v>2018</v>
      </c>
      <c r="O274" s="32">
        <f>VLOOKUP(Data!N310, CPI!$A$2:$B$112, 2, 0)</f>
        <v>240.00700000000001</v>
      </c>
      <c r="P274" s="32" t="s">
        <v>56</v>
      </c>
      <c r="Q274" s="32" t="s">
        <v>239</v>
      </c>
      <c r="R274" s="32" t="s">
        <v>624</v>
      </c>
      <c r="S274" s="32">
        <v>1.3</v>
      </c>
      <c r="T274" s="32" t="s">
        <v>625</v>
      </c>
      <c r="U274" s="32">
        <f>1.3*2.471</f>
        <v>3.2123000000000004</v>
      </c>
      <c r="V274" s="32" t="s">
        <v>316</v>
      </c>
      <c r="X274" s="32">
        <f>U274</f>
        <v>3.2123000000000004</v>
      </c>
      <c r="Y274" s="32">
        <f>(CPI!$B$112/O274)*X274</f>
        <v>4.0778524127421285</v>
      </c>
      <c r="Z274" s="38" t="s">
        <v>262</v>
      </c>
      <c r="AA274" s="35" t="s">
        <v>1425</v>
      </c>
      <c r="AB274" s="32">
        <v>29947</v>
      </c>
      <c r="AC274" s="32" t="s">
        <v>1425</v>
      </c>
      <c r="AH274" s="32" t="s">
        <v>411</v>
      </c>
      <c r="AJ274" s="35" t="s">
        <v>2308</v>
      </c>
      <c r="AK274" s="40" t="s">
        <v>626</v>
      </c>
      <c r="AL274" s="32">
        <v>2018</v>
      </c>
      <c r="AM274" s="32" t="s">
        <v>627</v>
      </c>
      <c r="AN274" s="32" t="s">
        <v>628</v>
      </c>
      <c r="AO274" s="38" t="s">
        <v>629</v>
      </c>
      <c r="AP274" s="35" t="s">
        <v>396</v>
      </c>
    </row>
    <row r="275" spans="1:42" x14ac:dyDescent="0.2">
      <c r="A275" s="40">
        <v>31</v>
      </c>
      <c r="B275" s="40">
        <v>274</v>
      </c>
      <c r="C275" s="51" t="s">
        <v>119</v>
      </c>
      <c r="D275" s="38" t="s">
        <v>128</v>
      </c>
      <c r="E275" s="32" t="s">
        <v>2184</v>
      </c>
      <c r="F275" s="32" t="s">
        <v>131</v>
      </c>
      <c r="G275" s="38" t="s">
        <v>133</v>
      </c>
      <c r="H275" s="32" t="s">
        <v>151</v>
      </c>
      <c r="I275" s="32" t="s">
        <v>243</v>
      </c>
      <c r="J275" s="32" t="s">
        <v>621</v>
      </c>
      <c r="K275" s="32" t="s">
        <v>129</v>
      </c>
      <c r="L275" s="32" t="s">
        <v>30</v>
      </c>
      <c r="M275" s="32" t="s">
        <v>30</v>
      </c>
      <c r="N275" s="40">
        <v>2018</v>
      </c>
      <c r="O275" s="32">
        <f>VLOOKUP(Data!N1375, CPI!$A$2:$B$112, 2, 0)</f>
        <v>109.6</v>
      </c>
      <c r="P275" s="32" t="s">
        <v>56</v>
      </c>
      <c r="Q275" s="32" t="s">
        <v>239</v>
      </c>
      <c r="R275" s="32" t="s">
        <v>623</v>
      </c>
      <c r="S275" s="32">
        <v>4.5</v>
      </c>
      <c r="T275" s="32" t="s">
        <v>590</v>
      </c>
      <c r="Z275" s="38" t="s">
        <v>262</v>
      </c>
      <c r="AA275" s="35" t="s">
        <v>1425</v>
      </c>
      <c r="AB275" s="32">
        <v>202343</v>
      </c>
      <c r="AC275" s="32" t="s">
        <v>1425</v>
      </c>
      <c r="AH275" s="32" t="s">
        <v>411</v>
      </c>
      <c r="AK275" s="40" t="s">
        <v>626</v>
      </c>
      <c r="AL275" s="32">
        <v>2018</v>
      </c>
      <c r="AM275" s="32" t="s">
        <v>627</v>
      </c>
      <c r="AN275" s="32" t="s">
        <v>628</v>
      </c>
      <c r="AO275" s="38" t="s">
        <v>629</v>
      </c>
      <c r="AP275" s="35" t="s">
        <v>396</v>
      </c>
    </row>
    <row r="276" spans="1:42" x14ac:dyDescent="0.2">
      <c r="A276" s="40">
        <v>32</v>
      </c>
      <c r="B276" s="40">
        <v>275</v>
      </c>
      <c r="C276" s="40" t="s">
        <v>114</v>
      </c>
      <c r="D276" s="38" t="s">
        <v>218</v>
      </c>
      <c r="E276" s="32" t="s">
        <v>2184</v>
      </c>
      <c r="F276" s="32" t="s">
        <v>145</v>
      </c>
      <c r="G276" s="38" t="s">
        <v>146</v>
      </c>
      <c r="H276" s="32" t="s">
        <v>151</v>
      </c>
      <c r="I276" s="32" t="s">
        <v>243</v>
      </c>
      <c r="J276" s="32" t="s">
        <v>589</v>
      </c>
      <c r="K276" s="32" t="s">
        <v>129</v>
      </c>
      <c r="L276" s="32" t="s">
        <v>30</v>
      </c>
      <c r="M276" s="32" t="s">
        <v>30</v>
      </c>
      <c r="N276" s="40">
        <v>2013</v>
      </c>
      <c r="O276" s="32">
        <f>VLOOKUP(Data!N311, CPI!$A$2:$B$112, 2, 0)</f>
        <v>240.00700000000001</v>
      </c>
      <c r="P276" s="32" t="s">
        <v>21</v>
      </c>
      <c r="Q276" s="32" t="s">
        <v>239</v>
      </c>
      <c r="R276" s="32" t="s">
        <v>640</v>
      </c>
      <c r="S276" s="32">
        <v>1100000</v>
      </c>
      <c r="T276" s="32" t="s">
        <v>300</v>
      </c>
      <c r="U276" s="32">
        <f t="shared" ref="U276:U286" si="13">S276/AB276</f>
        <v>0.63145809414466136</v>
      </c>
      <c r="V276" s="32" t="s">
        <v>316</v>
      </c>
      <c r="X276" s="32">
        <f t="shared" ref="X276:X307" si="14">U276</f>
        <v>0.63145809414466136</v>
      </c>
      <c r="Y276" s="32">
        <f>(CPI!$B$112/O276)*X276</f>
        <v>0.80160411940147347</v>
      </c>
      <c r="Z276" s="38" t="s">
        <v>262</v>
      </c>
      <c r="AA276" s="35" t="s">
        <v>1464</v>
      </c>
      <c r="AB276" s="32">
        <v>1742000</v>
      </c>
      <c r="AC276" s="32" t="s">
        <v>2309</v>
      </c>
      <c r="AH276" s="32" t="s">
        <v>411</v>
      </c>
      <c r="AI276" s="32" t="s">
        <v>2311</v>
      </c>
      <c r="AJ276" s="35" t="s">
        <v>2310</v>
      </c>
      <c r="AK276" s="40" t="s">
        <v>641</v>
      </c>
      <c r="AL276" s="32">
        <v>2014</v>
      </c>
      <c r="AM276" s="32" t="s">
        <v>642</v>
      </c>
      <c r="AN276" s="32" t="s">
        <v>643</v>
      </c>
      <c r="AO276" s="38" t="s">
        <v>644</v>
      </c>
      <c r="AP276" s="35" t="s">
        <v>396</v>
      </c>
    </row>
    <row r="277" spans="1:42" x14ac:dyDescent="0.2">
      <c r="A277" s="40">
        <v>32</v>
      </c>
      <c r="B277" s="40">
        <v>276</v>
      </c>
      <c r="C277" s="40" t="s">
        <v>114</v>
      </c>
      <c r="D277" s="38" t="s">
        <v>218</v>
      </c>
      <c r="E277" s="32" t="s">
        <v>2184</v>
      </c>
      <c r="F277" s="32" t="s">
        <v>145</v>
      </c>
      <c r="G277" s="38" t="s">
        <v>146</v>
      </c>
      <c r="H277" s="32" t="s">
        <v>151</v>
      </c>
      <c r="I277" s="32" t="s">
        <v>243</v>
      </c>
      <c r="J277" s="32" t="s">
        <v>589</v>
      </c>
      <c r="K277" s="32" t="s">
        <v>129</v>
      </c>
      <c r="L277" s="32" t="s">
        <v>30</v>
      </c>
      <c r="M277" s="32" t="s">
        <v>30</v>
      </c>
      <c r="N277" s="40">
        <v>2013</v>
      </c>
      <c r="O277" s="32">
        <f>VLOOKUP(Data!N312, CPI!$A$2:$B$112, 2, 0)</f>
        <v>240.00700000000001</v>
      </c>
      <c r="P277" s="32" t="s">
        <v>21</v>
      </c>
      <c r="Q277" s="32" t="s">
        <v>239</v>
      </c>
      <c r="R277" s="32" t="s">
        <v>630</v>
      </c>
      <c r="S277" s="32">
        <v>7100000</v>
      </c>
      <c r="T277" s="32" t="s">
        <v>300</v>
      </c>
      <c r="U277" s="32">
        <f t="shared" si="13"/>
        <v>4.075774971297359</v>
      </c>
      <c r="V277" s="32" t="s">
        <v>316</v>
      </c>
      <c r="X277" s="32">
        <f t="shared" si="14"/>
        <v>4.075774971297359</v>
      </c>
      <c r="Y277" s="32">
        <f>(CPI!$B$112/O277)*X277</f>
        <v>5.1739902252276915</v>
      </c>
      <c r="Z277" s="38" t="s">
        <v>262</v>
      </c>
      <c r="AA277" s="35" t="s">
        <v>1464</v>
      </c>
      <c r="AB277" s="32">
        <v>1742000</v>
      </c>
      <c r="AC277" s="32" t="s">
        <v>2309</v>
      </c>
      <c r="AH277" s="32" t="s">
        <v>411</v>
      </c>
      <c r="AK277" s="40" t="s">
        <v>641</v>
      </c>
      <c r="AL277" s="32">
        <v>2014</v>
      </c>
      <c r="AM277" s="32" t="s">
        <v>642</v>
      </c>
      <c r="AN277" s="32" t="s">
        <v>643</v>
      </c>
      <c r="AO277" s="38" t="s">
        <v>644</v>
      </c>
      <c r="AP277" s="35" t="s">
        <v>396</v>
      </c>
    </row>
    <row r="278" spans="1:42" x14ac:dyDescent="0.2">
      <c r="A278" s="40">
        <v>32</v>
      </c>
      <c r="B278" s="40">
        <v>277</v>
      </c>
      <c r="C278" s="40" t="s">
        <v>114</v>
      </c>
      <c r="D278" s="38" t="s">
        <v>218</v>
      </c>
      <c r="E278" s="32" t="s">
        <v>2184</v>
      </c>
      <c r="F278" s="32" t="s">
        <v>145</v>
      </c>
      <c r="G278" s="38" t="s">
        <v>146</v>
      </c>
      <c r="H278" s="32" t="s">
        <v>151</v>
      </c>
      <c r="I278" s="32" t="s">
        <v>243</v>
      </c>
      <c r="J278" s="32" t="s">
        <v>589</v>
      </c>
      <c r="K278" s="32" t="s">
        <v>129</v>
      </c>
      <c r="L278" s="32" t="s">
        <v>30</v>
      </c>
      <c r="M278" s="32" t="s">
        <v>30</v>
      </c>
      <c r="N278" s="40">
        <v>2013</v>
      </c>
      <c r="O278" s="32">
        <f>VLOOKUP(Data!N313, CPI!$A$2:$B$112, 2, 0)</f>
        <v>240.00700000000001</v>
      </c>
      <c r="P278" s="32" t="s">
        <v>21</v>
      </c>
      <c r="Q278" s="32" t="s">
        <v>239</v>
      </c>
      <c r="R278" s="32" t="s">
        <v>631</v>
      </c>
      <c r="S278" s="32">
        <v>1000000</v>
      </c>
      <c r="T278" s="32" t="s">
        <v>300</v>
      </c>
      <c r="U278" s="32">
        <f t="shared" si="13"/>
        <v>0.57405281285878296</v>
      </c>
      <c r="V278" s="32" t="s">
        <v>316</v>
      </c>
      <c r="X278" s="32">
        <f t="shared" si="14"/>
        <v>0.57405281285878296</v>
      </c>
      <c r="Y278" s="32">
        <f>(CPI!$B$112/O278)*X278</f>
        <v>0.72873101763770309</v>
      </c>
      <c r="Z278" s="38" t="s">
        <v>262</v>
      </c>
      <c r="AA278" s="35" t="s">
        <v>1464</v>
      </c>
      <c r="AB278" s="32">
        <v>1742000</v>
      </c>
      <c r="AC278" s="32" t="s">
        <v>2309</v>
      </c>
      <c r="AH278" s="32" t="s">
        <v>411</v>
      </c>
      <c r="AK278" s="40" t="s">
        <v>641</v>
      </c>
      <c r="AL278" s="32">
        <v>2014</v>
      </c>
      <c r="AM278" s="32" t="s">
        <v>642</v>
      </c>
      <c r="AN278" s="32" t="s">
        <v>643</v>
      </c>
      <c r="AO278" s="38" t="s">
        <v>644</v>
      </c>
      <c r="AP278" s="35" t="s">
        <v>396</v>
      </c>
    </row>
    <row r="279" spans="1:42" x14ac:dyDescent="0.2">
      <c r="A279" s="40">
        <v>32</v>
      </c>
      <c r="B279" s="40">
        <v>278</v>
      </c>
      <c r="C279" s="40" t="s">
        <v>114</v>
      </c>
      <c r="D279" s="38" t="s">
        <v>218</v>
      </c>
      <c r="E279" s="32" t="s">
        <v>2184</v>
      </c>
      <c r="F279" s="32" t="s">
        <v>145</v>
      </c>
      <c r="G279" s="38" t="s">
        <v>146</v>
      </c>
      <c r="H279" s="32" t="s">
        <v>151</v>
      </c>
      <c r="I279" s="32" t="s">
        <v>243</v>
      </c>
      <c r="J279" s="32" t="s">
        <v>589</v>
      </c>
      <c r="K279" s="32" t="s">
        <v>129</v>
      </c>
      <c r="L279" s="32" t="s">
        <v>30</v>
      </c>
      <c r="M279" s="32" t="s">
        <v>30</v>
      </c>
      <c r="N279" s="40">
        <v>2013</v>
      </c>
      <c r="O279" s="32">
        <f>VLOOKUP(Data!N314, CPI!$A$2:$B$112, 2, 0)</f>
        <v>240.00700000000001</v>
      </c>
      <c r="P279" s="32" t="s">
        <v>21</v>
      </c>
      <c r="Q279" s="32" t="s">
        <v>239</v>
      </c>
      <c r="R279" s="32" t="s">
        <v>632</v>
      </c>
      <c r="S279" s="32">
        <v>4900000</v>
      </c>
      <c r="T279" s="32" t="s">
        <v>300</v>
      </c>
      <c r="U279" s="32">
        <f t="shared" si="13"/>
        <v>2.8128587830080369</v>
      </c>
      <c r="V279" s="32" t="s">
        <v>316</v>
      </c>
      <c r="X279" s="32">
        <f t="shared" si="14"/>
        <v>2.8128587830080369</v>
      </c>
      <c r="Y279" s="32">
        <f>(CPI!$B$112/O279)*X279</f>
        <v>3.5707819864247456</v>
      </c>
      <c r="Z279" s="38" t="s">
        <v>262</v>
      </c>
      <c r="AA279" s="35" t="s">
        <v>1464</v>
      </c>
      <c r="AB279" s="32">
        <v>1742000</v>
      </c>
      <c r="AC279" s="32" t="s">
        <v>2309</v>
      </c>
      <c r="AH279" s="32" t="s">
        <v>411</v>
      </c>
      <c r="AK279" s="40" t="s">
        <v>641</v>
      </c>
      <c r="AL279" s="32">
        <v>2014</v>
      </c>
      <c r="AM279" s="32" t="s">
        <v>642</v>
      </c>
      <c r="AN279" s="32" t="s">
        <v>643</v>
      </c>
      <c r="AO279" s="38" t="s">
        <v>644</v>
      </c>
      <c r="AP279" s="35" t="s">
        <v>396</v>
      </c>
    </row>
    <row r="280" spans="1:42" x14ac:dyDescent="0.2">
      <c r="A280" s="40">
        <v>32</v>
      </c>
      <c r="B280" s="40">
        <v>279</v>
      </c>
      <c r="C280" s="40" t="s">
        <v>114</v>
      </c>
      <c r="D280" s="38" t="s">
        <v>218</v>
      </c>
      <c r="E280" s="32" t="s">
        <v>2184</v>
      </c>
      <c r="F280" s="32" t="s">
        <v>145</v>
      </c>
      <c r="G280" s="38" t="s">
        <v>146</v>
      </c>
      <c r="H280" s="32" t="s">
        <v>151</v>
      </c>
      <c r="I280" s="32" t="s">
        <v>243</v>
      </c>
      <c r="J280" s="32" t="s">
        <v>589</v>
      </c>
      <c r="K280" s="32" t="s">
        <v>129</v>
      </c>
      <c r="L280" s="32" t="s">
        <v>30</v>
      </c>
      <c r="M280" s="32" t="s">
        <v>30</v>
      </c>
      <c r="N280" s="40">
        <v>2013</v>
      </c>
      <c r="O280" s="32">
        <f>VLOOKUP(Data!N315, CPI!$A$2:$B$112, 2, 0)</f>
        <v>240.00700000000001</v>
      </c>
      <c r="P280" s="32" t="s">
        <v>21</v>
      </c>
      <c r="Q280" s="32" t="s">
        <v>239</v>
      </c>
      <c r="R280" s="32" t="s">
        <v>633</v>
      </c>
      <c r="S280" s="32">
        <v>5300000</v>
      </c>
      <c r="T280" s="32" t="s">
        <v>300</v>
      </c>
      <c r="U280" s="32">
        <f t="shared" si="13"/>
        <v>3.0424799081515501</v>
      </c>
      <c r="V280" s="32" t="s">
        <v>316</v>
      </c>
      <c r="X280" s="32">
        <f t="shared" si="14"/>
        <v>3.0424799081515501</v>
      </c>
      <c r="Y280" s="32">
        <f>(CPI!$B$112/O280)*X280</f>
        <v>3.8622743934798267</v>
      </c>
      <c r="Z280" s="38" t="s">
        <v>262</v>
      </c>
      <c r="AA280" s="35" t="s">
        <v>1464</v>
      </c>
      <c r="AB280" s="32">
        <v>1742000</v>
      </c>
      <c r="AC280" s="32" t="s">
        <v>2309</v>
      </c>
      <c r="AH280" s="32" t="s">
        <v>411</v>
      </c>
      <c r="AK280" s="40" t="s">
        <v>641</v>
      </c>
      <c r="AL280" s="32">
        <v>2014</v>
      </c>
      <c r="AM280" s="32" t="s">
        <v>642</v>
      </c>
      <c r="AN280" s="32" t="s">
        <v>643</v>
      </c>
      <c r="AO280" s="38" t="s">
        <v>644</v>
      </c>
      <c r="AP280" s="35" t="s">
        <v>396</v>
      </c>
    </row>
    <row r="281" spans="1:42" x14ac:dyDescent="0.2">
      <c r="A281" s="40">
        <v>32</v>
      </c>
      <c r="B281" s="40">
        <v>280</v>
      </c>
      <c r="C281" s="40" t="s">
        <v>114</v>
      </c>
      <c r="D281" s="38" t="s">
        <v>218</v>
      </c>
      <c r="E281" s="32" t="s">
        <v>2184</v>
      </c>
      <c r="F281" s="32" t="s">
        <v>145</v>
      </c>
      <c r="G281" s="38" t="s">
        <v>146</v>
      </c>
      <c r="H281" s="32" t="s">
        <v>151</v>
      </c>
      <c r="I281" s="32" t="s">
        <v>243</v>
      </c>
      <c r="J281" s="32" t="s">
        <v>589</v>
      </c>
      <c r="K281" s="32" t="s">
        <v>129</v>
      </c>
      <c r="L281" s="32" t="s">
        <v>30</v>
      </c>
      <c r="M281" s="32" t="s">
        <v>30</v>
      </c>
      <c r="N281" s="40">
        <v>2013</v>
      </c>
      <c r="O281" s="32">
        <f>VLOOKUP(Data!N316, CPI!$A$2:$B$112, 2, 0)</f>
        <v>240.00700000000001</v>
      </c>
      <c r="P281" s="32" t="s">
        <v>21</v>
      </c>
      <c r="Q281" s="32" t="s">
        <v>239</v>
      </c>
      <c r="R281" s="32" t="s">
        <v>634</v>
      </c>
      <c r="S281" s="32">
        <v>3000000</v>
      </c>
      <c r="T281" s="32" t="s">
        <v>300</v>
      </c>
      <c r="U281" s="32">
        <f t="shared" si="13"/>
        <v>1.7221584385763491</v>
      </c>
      <c r="V281" s="32" t="s">
        <v>316</v>
      </c>
      <c r="X281" s="32">
        <f t="shared" si="14"/>
        <v>1.7221584385763491</v>
      </c>
      <c r="Y281" s="32">
        <f>(CPI!$B$112/O281)*X281</f>
        <v>2.1861930529131097</v>
      </c>
      <c r="Z281" s="38" t="s">
        <v>262</v>
      </c>
      <c r="AA281" s="35" t="s">
        <v>1464</v>
      </c>
      <c r="AB281" s="32">
        <v>1742000</v>
      </c>
      <c r="AC281" s="32" t="s">
        <v>2309</v>
      </c>
      <c r="AH281" s="32" t="s">
        <v>411</v>
      </c>
      <c r="AK281" s="40" t="s">
        <v>641</v>
      </c>
      <c r="AL281" s="32">
        <v>2014</v>
      </c>
      <c r="AM281" s="32" t="s">
        <v>642</v>
      </c>
      <c r="AN281" s="32" t="s">
        <v>643</v>
      </c>
      <c r="AO281" s="38" t="s">
        <v>644</v>
      </c>
      <c r="AP281" s="35" t="s">
        <v>396</v>
      </c>
    </row>
    <row r="282" spans="1:42" x14ac:dyDescent="0.2">
      <c r="A282" s="40">
        <v>32</v>
      </c>
      <c r="B282" s="40">
        <v>281</v>
      </c>
      <c r="C282" s="40" t="s">
        <v>114</v>
      </c>
      <c r="D282" s="38" t="s">
        <v>218</v>
      </c>
      <c r="E282" s="32" t="s">
        <v>2184</v>
      </c>
      <c r="F282" s="32" t="s">
        <v>145</v>
      </c>
      <c r="G282" s="38" t="s">
        <v>146</v>
      </c>
      <c r="H282" s="32" t="s">
        <v>151</v>
      </c>
      <c r="I282" s="32" t="s">
        <v>243</v>
      </c>
      <c r="J282" s="32" t="s">
        <v>589</v>
      </c>
      <c r="K282" s="32" t="s">
        <v>129</v>
      </c>
      <c r="L282" s="32" t="s">
        <v>30</v>
      </c>
      <c r="M282" s="32" t="s">
        <v>30</v>
      </c>
      <c r="N282" s="40">
        <v>2013</v>
      </c>
      <c r="O282" s="32">
        <f>VLOOKUP(Data!N317, CPI!$A$2:$B$112, 2, 0)</f>
        <v>240.00700000000001</v>
      </c>
      <c r="P282" s="32" t="s">
        <v>21</v>
      </c>
      <c r="Q282" s="32" t="s">
        <v>239</v>
      </c>
      <c r="R282" s="32" t="s">
        <v>635</v>
      </c>
      <c r="S282" s="32">
        <v>1500000</v>
      </c>
      <c r="T282" s="32" t="s">
        <v>300</v>
      </c>
      <c r="U282" s="32">
        <f t="shared" si="13"/>
        <v>0.86107921928817455</v>
      </c>
      <c r="V282" s="32" t="s">
        <v>316</v>
      </c>
      <c r="X282" s="32">
        <f t="shared" si="14"/>
        <v>0.86107921928817455</v>
      </c>
      <c r="Y282" s="32">
        <f>(CPI!$B$112/O282)*X282</f>
        <v>1.0930965264565549</v>
      </c>
      <c r="Z282" s="38" t="s">
        <v>262</v>
      </c>
      <c r="AA282" s="35" t="s">
        <v>1464</v>
      </c>
      <c r="AB282" s="32">
        <v>1742000</v>
      </c>
      <c r="AC282" s="32" t="s">
        <v>2309</v>
      </c>
      <c r="AH282" s="32" t="s">
        <v>411</v>
      </c>
      <c r="AK282" s="40" t="s">
        <v>641</v>
      </c>
      <c r="AL282" s="32">
        <v>2014</v>
      </c>
      <c r="AM282" s="32" t="s">
        <v>642</v>
      </c>
      <c r="AN282" s="32" t="s">
        <v>643</v>
      </c>
      <c r="AO282" s="38" t="s">
        <v>644</v>
      </c>
      <c r="AP282" s="35" t="s">
        <v>396</v>
      </c>
    </row>
    <row r="283" spans="1:42" x14ac:dyDescent="0.2">
      <c r="A283" s="40">
        <v>32</v>
      </c>
      <c r="B283" s="40">
        <v>282</v>
      </c>
      <c r="C283" s="40" t="s">
        <v>114</v>
      </c>
      <c r="D283" s="38" t="s">
        <v>218</v>
      </c>
      <c r="E283" s="32" t="s">
        <v>2184</v>
      </c>
      <c r="F283" s="32" t="s">
        <v>145</v>
      </c>
      <c r="G283" s="38" t="s">
        <v>146</v>
      </c>
      <c r="H283" s="32" t="s">
        <v>151</v>
      </c>
      <c r="I283" s="32" t="s">
        <v>243</v>
      </c>
      <c r="J283" s="32" t="s">
        <v>589</v>
      </c>
      <c r="K283" s="32" t="s">
        <v>129</v>
      </c>
      <c r="L283" s="32" t="s">
        <v>30</v>
      </c>
      <c r="M283" s="32" t="s">
        <v>30</v>
      </c>
      <c r="N283" s="40">
        <v>2013</v>
      </c>
      <c r="O283" s="32">
        <f>VLOOKUP(Data!N318, CPI!$A$2:$B$112, 2, 0)</f>
        <v>240.00700000000001</v>
      </c>
      <c r="P283" s="32" t="s">
        <v>21</v>
      </c>
      <c r="Q283" s="32" t="s">
        <v>239</v>
      </c>
      <c r="R283" s="32" t="s">
        <v>636</v>
      </c>
      <c r="S283" s="32">
        <v>5100000</v>
      </c>
      <c r="T283" s="32" t="s">
        <v>300</v>
      </c>
      <c r="U283" s="32">
        <f t="shared" si="13"/>
        <v>2.9276693455797935</v>
      </c>
      <c r="V283" s="32" t="s">
        <v>316</v>
      </c>
      <c r="X283" s="32">
        <f t="shared" si="14"/>
        <v>2.9276693455797935</v>
      </c>
      <c r="Y283" s="32">
        <f>(CPI!$B$112/O283)*X283</f>
        <v>3.7165281899522862</v>
      </c>
      <c r="Z283" s="38" t="s">
        <v>262</v>
      </c>
      <c r="AA283" s="35" t="s">
        <v>1464</v>
      </c>
      <c r="AB283" s="32">
        <v>1742000</v>
      </c>
      <c r="AC283" s="32" t="s">
        <v>2309</v>
      </c>
      <c r="AH283" s="32" t="s">
        <v>411</v>
      </c>
      <c r="AK283" s="40" t="s">
        <v>641</v>
      </c>
      <c r="AL283" s="32">
        <v>2014</v>
      </c>
      <c r="AM283" s="32" t="s">
        <v>642</v>
      </c>
      <c r="AN283" s="32" t="s">
        <v>643</v>
      </c>
      <c r="AO283" s="38" t="s">
        <v>644</v>
      </c>
      <c r="AP283" s="35" t="s">
        <v>396</v>
      </c>
    </row>
    <row r="284" spans="1:42" x14ac:dyDescent="0.2">
      <c r="A284" s="40">
        <v>32</v>
      </c>
      <c r="B284" s="40">
        <v>283</v>
      </c>
      <c r="C284" s="40" t="s">
        <v>114</v>
      </c>
      <c r="D284" s="38" t="s">
        <v>218</v>
      </c>
      <c r="E284" s="32" t="s">
        <v>2184</v>
      </c>
      <c r="F284" s="32" t="s">
        <v>145</v>
      </c>
      <c r="G284" s="38" t="s">
        <v>146</v>
      </c>
      <c r="H284" s="32" t="s">
        <v>151</v>
      </c>
      <c r="I284" s="32" t="s">
        <v>243</v>
      </c>
      <c r="J284" s="32" t="s">
        <v>589</v>
      </c>
      <c r="K284" s="32" t="s">
        <v>129</v>
      </c>
      <c r="L284" s="32" t="s">
        <v>30</v>
      </c>
      <c r="M284" s="32" t="s">
        <v>30</v>
      </c>
      <c r="N284" s="40">
        <v>2013</v>
      </c>
      <c r="O284" s="32">
        <f>VLOOKUP(Data!N319, CPI!$A$2:$B$112, 2, 0)</f>
        <v>240.00700000000001</v>
      </c>
      <c r="P284" s="32" t="s">
        <v>21</v>
      </c>
      <c r="Q284" s="32" t="s">
        <v>239</v>
      </c>
      <c r="R284" s="32" t="s">
        <v>637</v>
      </c>
      <c r="S284" s="32">
        <v>100000</v>
      </c>
      <c r="T284" s="32" t="s">
        <v>300</v>
      </c>
      <c r="U284" s="32">
        <f t="shared" si="13"/>
        <v>5.7405281285878303E-2</v>
      </c>
      <c r="V284" s="32" t="s">
        <v>316</v>
      </c>
      <c r="X284" s="32">
        <f t="shared" si="14"/>
        <v>5.7405281285878303E-2</v>
      </c>
      <c r="Y284" s="32">
        <f>(CPI!$B$112/O284)*X284</f>
        <v>7.287310176377032E-2</v>
      </c>
      <c r="Z284" s="38" t="s">
        <v>262</v>
      </c>
      <c r="AA284" s="35" t="s">
        <v>1464</v>
      </c>
      <c r="AB284" s="32">
        <v>1742000</v>
      </c>
      <c r="AC284" s="32" t="s">
        <v>2309</v>
      </c>
      <c r="AH284" s="32" t="s">
        <v>411</v>
      </c>
      <c r="AK284" s="40" t="s">
        <v>641</v>
      </c>
      <c r="AL284" s="32">
        <v>2014</v>
      </c>
      <c r="AM284" s="32" t="s">
        <v>642</v>
      </c>
      <c r="AN284" s="32" t="s">
        <v>643</v>
      </c>
      <c r="AO284" s="38" t="s">
        <v>644</v>
      </c>
      <c r="AP284" s="35" t="s">
        <v>396</v>
      </c>
    </row>
    <row r="285" spans="1:42" x14ac:dyDescent="0.2">
      <c r="A285" s="40">
        <v>32</v>
      </c>
      <c r="B285" s="40">
        <v>284</v>
      </c>
      <c r="C285" s="40" t="s">
        <v>114</v>
      </c>
      <c r="D285" s="38" t="s">
        <v>218</v>
      </c>
      <c r="E285" s="32" t="s">
        <v>2184</v>
      </c>
      <c r="F285" s="32" t="s">
        <v>145</v>
      </c>
      <c r="G285" s="38" t="s">
        <v>146</v>
      </c>
      <c r="H285" s="32" t="s">
        <v>151</v>
      </c>
      <c r="I285" s="32" t="s">
        <v>243</v>
      </c>
      <c r="J285" s="32" t="s">
        <v>589</v>
      </c>
      <c r="K285" s="32" t="s">
        <v>129</v>
      </c>
      <c r="L285" s="32" t="s">
        <v>30</v>
      </c>
      <c r="M285" s="32" t="s">
        <v>30</v>
      </c>
      <c r="N285" s="40">
        <v>2013</v>
      </c>
      <c r="O285" s="32">
        <f>VLOOKUP(Data!N320, CPI!$A$2:$B$112, 2, 0)</f>
        <v>240.00700000000001</v>
      </c>
      <c r="P285" s="32" t="s">
        <v>21</v>
      </c>
      <c r="Q285" s="32" t="s">
        <v>239</v>
      </c>
      <c r="R285" s="32" t="s">
        <v>638</v>
      </c>
      <c r="S285" s="32">
        <v>7300000</v>
      </c>
      <c r="T285" s="32" t="s">
        <v>300</v>
      </c>
      <c r="U285" s="32">
        <f t="shared" si="13"/>
        <v>4.1905855338691156</v>
      </c>
      <c r="V285" s="32" t="s">
        <v>316</v>
      </c>
      <c r="X285" s="32">
        <f t="shared" si="14"/>
        <v>4.1905855338691156</v>
      </c>
      <c r="Y285" s="32">
        <f>(CPI!$B$112/O285)*X285</f>
        <v>5.319736428755232</v>
      </c>
      <c r="Z285" s="38" t="s">
        <v>262</v>
      </c>
      <c r="AA285" s="35" t="s">
        <v>1464</v>
      </c>
      <c r="AB285" s="32">
        <v>1742000</v>
      </c>
      <c r="AC285" s="32" t="s">
        <v>2309</v>
      </c>
      <c r="AH285" s="32" t="s">
        <v>411</v>
      </c>
      <c r="AK285" s="40" t="s">
        <v>641</v>
      </c>
      <c r="AL285" s="32">
        <v>2014</v>
      </c>
      <c r="AM285" s="32" t="s">
        <v>642</v>
      </c>
      <c r="AN285" s="32" t="s">
        <v>643</v>
      </c>
      <c r="AO285" s="38" t="s">
        <v>644</v>
      </c>
      <c r="AP285" s="35" t="s">
        <v>396</v>
      </c>
    </row>
    <row r="286" spans="1:42" x14ac:dyDescent="0.2">
      <c r="A286" s="40">
        <v>32</v>
      </c>
      <c r="B286" s="40">
        <v>285</v>
      </c>
      <c r="C286" s="40" t="s">
        <v>114</v>
      </c>
      <c r="D286" s="38" t="s">
        <v>218</v>
      </c>
      <c r="E286" s="32" t="s">
        <v>2184</v>
      </c>
      <c r="F286" s="32" t="s">
        <v>145</v>
      </c>
      <c r="G286" s="38" t="s">
        <v>146</v>
      </c>
      <c r="H286" s="32" t="s">
        <v>151</v>
      </c>
      <c r="I286" s="32" t="s">
        <v>243</v>
      </c>
      <c r="J286" s="32" t="s">
        <v>589</v>
      </c>
      <c r="K286" s="32" t="s">
        <v>129</v>
      </c>
      <c r="L286" s="32" t="s">
        <v>30</v>
      </c>
      <c r="M286" s="32" t="s">
        <v>30</v>
      </c>
      <c r="N286" s="40">
        <v>2013</v>
      </c>
      <c r="O286" s="32">
        <f>VLOOKUP(Data!N321, CPI!$A$2:$B$112, 2, 0)</f>
        <v>240.00700000000001</v>
      </c>
      <c r="P286" s="32" t="s">
        <v>21</v>
      </c>
      <c r="Q286" s="32" t="s">
        <v>239</v>
      </c>
      <c r="R286" s="32" t="s">
        <v>639</v>
      </c>
      <c r="S286" s="32">
        <v>1700000</v>
      </c>
      <c r="T286" s="32" t="s">
        <v>300</v>
      </c>
      <c r="U286" s="32">
        <f t="shared" si="13"/>
        <v>0.97588978185993114</v>
      </c>
      <c r="V286" s="32" t="s">
        <v>316</v>
      </c>
      <c r="X286" s="32">
        <f t="shared" si="14"/>
        <v>0.97588978185993114</v>
      </c>
      <c r="Y286" s="32">
        <f>(CPI!$B$112/O286)*X286</f>
        <v>1.2388427299840954</v>
      </c>
      <c r="Z286" s="38" t="s">
        <v>262</v>
      </c>
      <c r="AA286" s="35" t="s">
        <v>1464</v>
      </c>
      <c r="AB286" s="32">
        <v>1742000</v>
      </c>
      <c r="AC286" s="32" t="s">
        <v>2309</v>
      </c>
      <c r="AH286" s="32" t="s">
        <v>411</v>
      </c>
      <c r="AK286" s="40" t="s">
        <v>641</v>
      </c>
      <c r="AL286" s="32">
        <v>2014</v>
      </c>
      <c r="AM286" s="32" t="s">
        <v>642</v>
      </c>
      <c r="AN286" s="32" t="s">
        <v>643</v>
      </c>
      <c r="AO286" s="38" t="s">
        <v>644</v>
      </c>
      <c r="AP286" s="35" t="s">
        <v>396</v>
      </c>
    </row>
    <row r="287" spans="1:42" x14ac:dyDescent="0.2">
      <c r="A287" s="40">
        <v>33</v>
      </c>
      <c r="B287" s="40">
        <v>286</v>
      </c>
      <c r="C287" s="40" t="s">
        <v>114</v>
      </c>
      <c r="D287" s="38" t="s">
        <v>218</v>
      </c>
      <c r="E287" s="32" t="s">
        <v>2183</v>
      </c>
      <c r="F287" s="32" t="s">
        <v>244</v>
      </c>
      <c r="G287" s="38" t="s">
        <v>2908</v>
      </c>
      <c r="H287" s="32" t="s">
        <v>151</v>
      </c>
      <c r="I287" s="32" t="s">
        <v>243</v>
      </c>
      <c r="J287" s="32" t="s">
        <v>645</v>
      </c>
      <c r="K287" s="32" t="s">
        <v>129</v>
      </c>
      <c r="L287" s="32" t="s">
        <v>30</v>
      </c>
      <c r="M287" s="32" t="s">
        <v>30</v>
      </c>
      <c r="N287" s="40">
        <v>2016</v>
      </c>
      <c r="O287" s="32">
        <f>VLOOKUP(Data!N322, CPI!$A$2:$B$112, 2, 0)</f>
        <v>240.00700000000001</v>
      </c>
      <c r="P287" s="32" t="s">
        <v>245</v>
      </c>
      <c r="Q287" s="32" t="s">
        <v>239</v>
      </c>
      <c r="R287" s="32" t="s">
        <v>647</v>
      </c>
      <c r="S287" s="32">
        <v>195</v>
      </c>
      <c r="T287" s="32" t="s">
        <v>316</v>
      </c>
      <c r="U287" s="32">
        <v>195</v>
      </c>
      <c r="V287" s="32" t="s">
        <v>316</v>
      </c>
      <c r="X287" s="32">
        <f t="shared" si="14"/>
        <v>195</v>
      </c>
      <c r="Y287" s="32">
        <f>(CPI!$B$112/O287)*X287</f>
        <v>247.54263938135139</v>
      </c>
      <c r="Z287" s="38" t="s">
        <v>262</v>
      </c>
      <c r="AA287" s="35" t="s">
        <v>1448</v>
      </c>
      <c r="AB287" s="32">
        <v>37600</v>
      </c>
      <c r="AC287" s="32" t="s">
        <v>2315</v>
      </c>
      <c r="AH287" s="32" t="s">
        <v>411</v>
      </c>
      <c r="AK287" s="40" t="s">
        <v>723</v>
      </c>
      <c r="AL287" s="32">
        <v>2018</v>
      </c>
      <c r="AM287" s="32" t="s">
        <v>724</v>
      </c>
      <c r="AN287" s="32" t="s">
        <v>725</v>
      </c>
      <c r="AO287" s="38" t="s">
        <v>726</v>
      </c>
      <c r="AP287" s="35" t="s">
        <v>396</v>
      </c>
    </row>
    <row r="288" spans="1:42" x14ac:dyDescent="0.2">
      <c r="A288" s="40">
        <v>33</v>
      </c>
      <c r="B288" s="40">
        <v>287</v>
      </c>
      <c r="C288" s="40" t="s">
        <v>114</v>
      </c>
      <c r="D288" s="38" t="s">
        <v>218</v>
      </c>
      <c r="E288" s="32" t="s">
        <v>2183</v>
      </c>
      <c r="F288" s="32" t="s">
        <v>244</v>
      </c>
      <c r="G288" s="38" t="s">
        <v>2908</v>
      </c>
      <c r="H288" s="32" t="s">
        <v>151</v>
      </c>
      <c r="I288" s="32" t="s">
        <v>243</v>
      </c>
      <c r="J288" s="32" t="s">
        <v>645</v>
      </c>
      <c r="K288" s="32" t="s">
        <v>129</v>
      </c>
      <c r="L288" s="32" t="s">
        <v>30</v>
      </c>
      <c r="M288" s="32" t="s">
        <v>30</v>
      </c>
      <c r="N288" s="40">
        <v>2016</v>
      </c>
      <c r="O288" s="32">
        <f>VLOOKUP(Data!N323, CPI!$A$2:$B$112, 2, 0)</f>
        <v>240.00700000000001</v>
      </c>
      <c r="P288" s="32" t="s">
        <v>245</v>
      </c>
      <c r="Q288" s="32" t="s">
        <v>239</v>
      </c>
      <c r="R288" s="32" t="s">
        <v>648</v>
      </c>
      <c r="S288" s="32">
        <v>128</v>
      </c>
      <c r="T288" s="32" t="s">
        <v>316</v>
      </c>
      <c r="U288" s="32">
        <v>128</v>
      </c>
      <c r="V288" s="32" t="s">
        <v>316</v>
      </c>
      <c r="X288" s="32">
        <f t="shared" si="14"/>
        <v>128</v>
      </c>
      <c r="Y288" s="32">
        <f>(CPI!$B$112/O288)*X288</f>
        <v>162.4895273887845</v>
      </c>
      <c r="Z288" s="38" t="s">
        <v>262</v>
      </c>
      <c r="AA288" s="35" t="s">
        <v>1448</v>
      </c>
      <c r="AB288" s="32">
        <v>12200</v>
      </c>
      <c r="AC288" s="32" t="s">
        <v>2315</v>
      </c>
      <c r="AH288" s="32" t="s">
        <v>411</v>
      </c>
      <c r="AK288" s="40" t="s">
        <v>723</v>
      </c>
      <c r="AL288" s="32">
        <v>2018</v>
      </c>
      <c r="AM288" s="32" t="s">
        <v>724</v>
      </c>
      <c r="AN288" s="32" t="s">
        <v>725</v>
      </c>
      <c r="AO288" s="38" t="s">
        <v>726</v>
      </c>
      <c r="AP288" s="35" t="s">
        <v>396</v>
      </c>
    </row>
    <row r="289" spans="1:42" x14ac:dyDescent="0.2">
      <c r="A289" s="40">
        <v>34</v>
      </c>
      <c r="B289" s="40">
        <v>288</v>
      </c>
      <c r="C289" s="40" t="s">
        <v>114</v>
      </c>
      <c r="D289" s="38" t="s">
        <v>218</v>
      </c>
      <c r="E289" s="32" t="s">
        <v>2183</v>
      </c>
      <c r="F289" s="32" t="s">
        <v>244</v>
      </c>
      <c r="G289" s="38" t="s">
        <v>2908</v>
      </c>
      <c r="H289" s="32" t="s">
        <v>151</v>
      </c>
      <c r="I289" s="32" t="s">
        <v>243</v>
      </c>
      <c r="J289" s="32" t="s">
        <v>645</v>
      </c>
      <c r="K289" s="32" t="s">
        <v>129</v>
      </c>
      <c r="L289" s="32" t="s">
        <v>30</v>
      </c>
      <c r="M289" s="32" t="s">
        <v>30</v>
      </c>
      <c r="N289" s="40">
        <v>2016</v>
      </c>
      <c r="O289" s="32">
        <f>VLOOKUP(Data!N324, CPI!$A$2:$B$112, 2, 0)</f>
        <v>240.00700000000001</v>
      </c>
      <c r="P289" s="32" t="s">
        <v>245</v>
      </c>
      <c r="Q289" s="32" t="s">
        <v>239</v>
      </c>
      <c r="R289" s="32" t="s">
        <v>646</v>
      </c>
      <c r="S289" s="32">
        <v>80</v>
      </c>
      <c r="T289" s="32" t="s">
        <v>316</v>
      </c>
      <c r="U289" s="32">
        <v>80</v>
      </c>
      <c r="V289" s="32" t="s">
        <v>316</v>
      </c>
      <c r="X289" s="32">
        <f t="shared" si="14"/>
        <v>80</v>
      </c>
      <c r="Y289" s="32">
        <f>(CPI!$B$112/O289)*X289</f>
        <v>101.55595461799031</v>
      </c>
      <c r="Z289" s="38" t="s">
        <v>262</v>
      </c>
      <c r="AA289" s="35" t="s">
        <v>1448</v>
      </c>
      <c r="AB289" s="32">
        <v>4800</v>
      </c>
      <c r="AC289" s="32" t="s">
        <v>2315</v>
      </c>
      <c r="AH289" s="32" t="s">
        <v>411</v>
      </c>
      <c r="AK289" s="40" t="s">
        <v>723</v>
      </c>
      <c r="AL289" s="32">
        <v>2018</v>
      </c>
      <c r="AM289" s="32" t="s">
        <v>724</v>
      </c>
      <c r="AN289" s="32" t="s">
        <v>725</v>
      </c>
      <c r="AO289" s="38" t="s">
        <v>726</v>
      </c>
      <c r="AP289" s="35" t="s">
        <v>396</v>
      </c>
    </row>
    <row r="290" spans="1:42" x14ac:dyDescent="0.2">
      <c r="A290" s="40">
        <v>34</v>
      </c>
      <c r="B290" s="40">
        <v>289</v>
      </c>
      <c r="C290" s="40" t="s">
        <v>114</v>
      </c>
      <c r="D290" s="38" t="s">
        <v>218</v>
      </c>
      <c r="E290" s="32" t="s">
        <v>2183</v>
      </c>
      <c r="F290" s="32" t="s">
        <v>244</v>
      </c>
      <c r="G290" s="38" t="s">
        <v>2908</v>
      </c>
      <c r="H290" s="32" t="s">
        <v>151</v>
      </c>
      <c r="I290" s="32" t="s">
        <v>243</v>
      </c>
      <c r="J290" s="32" t="s">
        <v>645</v>
      </c>
      <c r="K290" s="32" t="s">
        <v>129</v>
      </c>
      <c r="L290" s="32" t="s">
        <v>30</v>
      </c>
      <c r="M290" s="32" t="s">
        <v>30</v>
      </c>
      <c r="N290" s="40">
        <v>2016</v>
      </c>
      <c r="O290" s="32">
        <f>VLOOKUP(Data!N325, CPI!$A$2:$B$112, 2, 0)</f>
        <v>240.00700000000001</v>
      </c>
      <c r="P290" s="32" t="s">
        <v>238</v>
      </c>
      <c r="Q290" s="32" t="s">
        <v>239</v>
      </c>
      <c r="R290" s="32" t="s">
        <v>649</v>
      </c>
      <c r="S290" s="32">
        <v>700000</v>
      </c>
      <c r="T290" s="32" t="s">
        <v>300</v>
      </c>
      <c r="U290" s="32">
        <f t="shared" ref="U290:U295" si="15">S290/AB290</f>
        <v>0.79545454545454541</v>
      </c>
      <c r="V290" s="32" t="s">
        <v>316</v>
      </c>
      <c r="X290" s="32">
        <f t="shared" si="14"/>
        <v>0.79545454545454541</v>
      </c>
      <c r="Y290" s="32">
        <f>(CPI!$B$112/O290)*X290</f>
        <v>1.009789321485699</v>
      </c>
      <c r="Z290" s="38" t="s">
        <v>262</v>
      </c>
      <c r="AA290" s="35" t="s">
        <v>1412</v>
      </c>
      <c r="AB290" s="32">
        <v>880000</v>
      </c>
      <c r="AC290" s="32" t="s">
        <v>2315</v>
      </c>
      <c r="AH290" s="32" t="s">
        <v>411</v>
      </c>
      <c r="AJ290" s="35" t="s">
        <v>2310</v>
      </c>
      <c r="AK290" s="40" t="s">
        <v>723</v>
      </c>
      <c r="AL290" s="32">
        <v>2018</v>
      </c>
      <c r="AM290" s="32" t="s">
        <v>724</v>
      </c>
      <c r="AN290" s="32" t="s">
        <v>725</v>
      </c>
      <c r="AO290" s="38" t="s">
        <v>726</v>
      </c>
      <c r="AP290" s="35" t="s">
        <v>396</v>
      </c>
    </row>
    <row r="291" spans="1:42" x14ac:dyDescent="0.2">
      <c r="A291" s="40">
        <v>35</v>
      </c>
      <c r="B291" s="40">
        <v>290</v>
      </c>
      <c r="C291" s="40" t="s">
        <v>114</v>
      </c>
      <c r="D291" s="38" t="s">
        <v>218</v>
      </c>
      <c r="E291" s="32" t="s">
        <v>2183</v>
      </c>
      <c r="F291" s="32" t="s">
        <v>244</v>
      </c>
      <c r="G291" s="38" t="s">
        <v>2908</v>
      </c>
      <c r="H291" s="32" t="s">
        <v>151</v>
      </c>
      <c r="I291" s="32" t="s">
        <v>243</v>
      </c>
      <c r="J291" s="32" t="s">
        <v>645</v>
      </c>
      <c r="K291" s="32" t="s">
        <v>129</v>
      </c>
      <c r="L291" s="32" t="s">
        <v>30</v>
      </c>
      <c r="M291" s="32" t="s">
        <v>30</v>
      </c>
      <c r="N291" s="40">
        <v>2016</v>
      </c>
      <c r="O291" s="32">
        <f>VLOOKUP(Data!N326, CPI!$A$2:$B$112, 2, 0)</f>
        <v>240.00700000000001</v>
      </c>
      <c r="P291" s="32" t="s">
        <v>238</v>
      </c>
      <c r="Q291" s="32" t="s">
        <v>239</v>
      </c>
      <c r="R291" s="32" t="s">
        <v>650</v>
      </c>
      <c r="S291" s="32">
        <v>1300000</v>
      </c>
      <c r="T291" s="32" t="s">
        <v>300</v>
      </c>
      <c r="U291" s="32">
        <f t="shared" si="15"/>
        <v>1.4772727272727273</v>
      </c>
      <c r="V291" s="32" t="s">
        <v>316</v>
      </c>
      <c r="X291" s="32">
        <f t="shared" si="14"/>
        <v>1.4772727272727273</v>
      </c>
      <c r="Y291" s="32">
        <f>(CPI!$B$112/O291)*X291</f>
        <v>1.8753230256162983</v>
      </c>
      <c r="Z291" s="38" t="s">
        <v>262</v>
      </c>
      <c r="AA291" s="35" t="s">
        <v>1412</v>
      </c>
      <c r="AB291" s="32">
        <v>880000</v>
      </c>
      <c r="AC291" s="32" t="s">
        <v>2315</v>
      </c>
      <c r="AH291" s="32" t="s">
        <v>411</v>
      </c>
      <c r="AJ291" s="35" t="s">
        <v>2310</v>
      </c>
      <c r="AK291" s="40" t="s">
        <v>723</v>
      </c>
      <c r="AL291" s="32">
        <v>2018</v>
      </c>
      <c r="AM291" s="32" t="s">
        <v>724</v>
      </c>
      <c r="AN291" s="32" t="s">
        <v>725</v>
      </c>
      <c r="AO291" s="38" t="s">
        <v>726</v>
      </c>
      <c r="AP291" s="35" t="s">
        <v>396</v>
      </c>
    </row>
    <row r="292" spans="1:42" x14ac:dyDescent="0.2">
      <c r="A292" s="40">
        <v>36</v>
      </c>
      <c r="B292" s="40">
        <v>291</v>
      </c>
      <c r="C292" s="40" t="s">
        <v>114</v>
      </c>
      <c r="D292" s="38" t="s">
        <v>218</v>
      </c>
      <c r="E292" s="32" t="s">
        <v>2183</v>
      </c>
      <c r="F292" s="32" t="s">
        <v>244</v>
      </c>
      <c r="G292" s="38" t="s">
        <v>251</v>
      </c>
      <c r="H292" s="32" t="s">
        <v>151</v>
      </c>
      <c r="I292" s="32" t="s">
        <v>243</v>
      </c>
      <c r="J292" s="32" t="s">
        <v>645</v>
      </c>
      <c r="K292" s="32" t="s">
        <v>129</v>
      </c>
      <c r="L292" s="32" t="s">
        <v>30</v>
      </c>
      <c r="M292" s="32" t="s">
        <v>30</v>
      </c>
      <c r="N292" s="40">
        <v>2016</v>
      </c>
      <c r="O292" s="32">
        <f>VLOOKUP(Data!N327, CPI!$A$2:$B$112, 2, 0)</f>
        <v>240.00700000000001</v>
      </c>
      <c r="P292" s="32" t="s">
        <v>238</v>
      </c>
      <c r="Q292" s="32" t="s">
        <v>239</v>
      </c>
      <c r="R292" s="32" t="s">
        <v>651</v>
      </c>
      <c r="S292" s="32">
        <v>4600000</v>
      </c>
      <c r="T292" s="32" t="s">
        <v>300</v>
      </c>
      <c r="U292" s="32">
        <f t="shared" si="15"/>
        <v>5.2272727272727275</v>
      </c>
      <c r="V292" s="32" t="s">
        <v>316</v>
      </c>
      <c r="X292" s="32">
        <f t="shared" si="14"/>
        <v>5.2272727272727275</v>
      </c>
      <c r="Y292" s="32">
        <f>(CPI!$B$112/O292)*X292</f>
        <v>6.6357583983345947</v>
      </c>
      <c r="Z292" s="38" t="s">
        <v>262</v>
      </c>
      <c r="AA292" s="35" t="s">
        <v>1412</v>
      </c>
      <c r="AB292" s="32">
        <v>880000</v>
      </c>
      <c r="AC292" s="32" t="s">
        <v>2315</v>
      </c>
      <c r="AH292" s="32" t="s">
        <v>411</v>
      </c>
      <c r="AJ292" s="35" t="s">
        <v>2310</v>
      </c>
      <c r="AK292" s="40" t="s">
        <v>723</v>
      </c>
      <c r="AL292" s="32">
        <v>2018</v>
      </c>
      <c r="AM292" s="32" t="s">
        <v>724</v>
      </c>
      <c r="AN292" s="32" t="s">
        <v>725</v>
      </c>
      <c r="AO292" s="38" t="s">
        <v>726</v>
      </c>
      <c r="AP292" s="35" t="s">
        <v>396</v>
      </c>
    </row>
    <row r="293" spans="1:42" x14ac:dyDescent="0.2">
      <c r="A293" s="40">
        <v>37</v>
      </c>
      <c r="B293" s="40">
        <v>292</v>
      </c>
      <c r="C293" s="40" t="s">
        <v>114</v>
      </c>
      <c r="D293" s="38" t="s">
        <v>218</v>
      </c>
      <c r="E293" s="32" t="s">
        <v>2183</v>
      </c>
      <c r="F293" s="32" t="s">
        <v>244</v>
      </c>
      <c r="G293" s="38" t="s">
        <v>2908</v>
      </c>
      <c r="H293" s="32" t="s">
        <v>151</v>
      </c>
      <c r="I293" s="32" t="s">
        <v>243</v>
      </c>
      <c r="J293" s="32" t="s">
        <v>645</v>
      </c>
      <c r="K293" s="32" t="s">
        <v>129</v>
      </c>
      <c r="L293" s="32" t="s">
        <v>30</v>
      </c>
      <c r="M293" s="32" t="s">
        <v>30</v>
      </c>
      <c r="N293" s="40">
        <v>2016</v>
      </c>
      <c r="O293" s="32">
        <f>VLOOKUP(Data!N328, CPI!$A$2:$B$112, 2, 0)</f>
        <v>240.00700000000001</v>
      </c>
      <c r="P293" s="32" t="s">
        <v>238</v>
      </c>
      <c r="Q293" s="32" t="s">
        <v>239</v>
      </c>
      <c r="R293" s="32" t="s">
        <v>652</v>
      </c>
      <c r="S293" s="32">
        <v>900000</v>
      </c>
      <c r="T293" s="32" t="s">
        <v>300</v>
      </c>
      <c r="U293" s="32">
        <f t="shared" si="15"/>
        <v>1.0227272727272727</v>
      </c>
      <c r="V293" s="32" t="s">
        <v>316</v>
      </c>
      <c r="X293" s="32">
        <f t="shared" si="14"/>
        <v>1.0227272727272727</v>
      </c>
      <c r="Y293" s="32">
        <f>(CPI!$B$112/O293)*X293</f>
        <v>1.2983005561958989</v>
      </c>
      <c r="Z293" s="38" t="s">
        <v>262</v>
      </c>
      <c r="AA293" s="35" t="s">
        <v>1412</v>
      </c>
      <c r="AB293" s="32">
        <v>880000</v>
      </c>
      <c r="AC293" s="32" t="s">
        <v>2315</v>
      </c>
      <c r="AH293" s="32" t="s">
        <v>411</v>
      </c>
      <c r="AJ293" s="35" t="s">
        <v>2310</v>
      </c>
      <c r="AK293" s="40" t="s">
        <v>723</v>
      </c>
      <c r="AL293" s="32">
        <v>2018</v>
      </c>
      <c r="AM293" s="32" t="s">
        <v>724</v>
      </c>
      <c r="AN293" s="32" t="s">
        <v>725</v>
      </c>
      <c r="AO293" s="38" t="s">
        <v>726</v>
      </c>
      <c r="AP293" s="35" t="s">
        <v>396</v>
      </c>
    </row>
    <row r="294" spans="1:42" x14ac:dyDescent="0.2">
      <c r="A294" s="40">
        <v>38</v>
      </c>
      <c r="B294" s="40">
        <v>293</v>
      </c>
      <c r="C294" s="40" t="s">
        <v>114</v>
      </c>
      <c r="D294" s="38" t="s">
        <v>218</v>
      </c>
      <c r="E294" s="32" t="s">
        <v>2183</v>
      </c>
      <c r="F294" s="32" t="s">
        <v>244</v>
      </c>
      <c r="G294" s="38" t="s">
        <v>2908</v>
      </c>
      <c r="H294" s="32" t="s">
        <v>151</v>
      </c>
      <c r="I294" s="32" t="s">
        <v>243</v>
      </c>
      <c r="J294" s="32" t="s">
        <v>645</v>
      </c>
      <c r="K294" s="32" t="s">
        <v>129</v>
      </c>
      <c r="L294" s="32" t="s">
        <v>30</v>
      </c>
      <c r="M294" s="32" t="s">
        <v>30</v>
      </c>
      <c r="N294" s="40">
        <v>2016</v>
      </c>
      <c r="O294" s="32">
        <f>VLOOKUP(Data!N329, CPI!$A$2:$B$112, 2, 0)</f>
        <v>240.00700000000001</v>
      </c>
      <c r="P294" s="32" t="s">
        <v>238</v>
      </c>
      <c r="Q294" s="32" t="s">
        <v>239</v>
      </c>
      <c r="R294" s="32" t="s">
        <v>653</v>
      </c>
      <c r="S294" s="32">
        <v>2200000</v>
      </c>
      <c r="T294" s="32" t="s">
        <v>300</v>
      </c>
      <c r="U294" s="32">
        <f t="shared" si="15"/>
        <v>2.5</v>
      </c>
      <c r="V294" s="32" t="s">
        <v>316</v>
      </c>
      <c r="X294" s="32">
        <f t="shared" si="14"/>
        <v>2.5</v>
      </c>
      <c r="Y294" s="32">
        <f>(CPI!$B$112/O294)*X294</f>
        <v>3.1736235818121972</v>
      </c>
      <c r="Z294" s="38" t="s">
        <v>262</v>
      </c>
      <c r="AA294" s="35" t="s">
        <v>1412</v>
      </c>
      <c r="AB294" s="32">
        <v>880000</v>
      </c>
      <c r="AC294" s="32" t="s">
        <v>2315</v>
      </c>
      <c r="AH294" s="32" t="s">
        <v>411</v>
      </c>
      <c r="AK294" s="40" t="s">
        <v>723</v>
      </c>
      <c r="AL294" s="32">
        <v>2018</v>
      </c>
      <c r="AM294" s="32" t="s">
        <v>724</v>
      </c>
      <c r="AN294" s="32" t="s">
        <v>725</v>
      </c>
      <c r="AO294" s="38" t="s">
        <v>726</v>
      </c>
      <c r="AP294" s="35" t="s">
        <v>396</v>
      </c>
    </row>
    <row r="295" spans="1:42" x14ac:dyDescent="0.2">
      <c r="A295" s="40">
        <v>38</v>
      </c>
      <c r="B295" s="40">
        <v>294</v>
      </c>
      <c r="C295" s="40" t="s">
        <v>114</v>
      </c>
      <c r="D295" s="38" t="s">
        <v>218</v>
      </c>
      <c r="E295" s="32" t="s">
        <v>2183</v>
      </c>
      <c r="F295" s="32" t="s">
        <v>244</v>
      </c>
      <c r="G295" s="38" t="s">
        <v>2908</v>
      </c>
      <c r="H295" s="32" t="s">
        <v>151</v>
      </c>
      <c r="I295" s="32" t="s">
        <v>243</v>
      </c>
      <c r="J295" s="32" t="s">
        <v>645</v>
      </c>
      <c r="K295" s="32" t="s">
        <v>129</v>
      </c>
      <c r="L295" s="32" t="s">
        <v>30</v>
      </c>
      <c r="M295" s="32" t="s">
        <v>30</v>
      </c>
      <c r="N295" s="40">
        <v>2016</v>
      </c>
      <c r="O295" s="32">
        <f>VLOOKUP(Data!N330, CPI!$A$2:$B$112, 2, 0)</f>
        <v>240.00700000000001</v>
      </c>
      <c r="P295" s="32" t="s">
        <v>238</v>
      </c>
      <c r="Q295" s="32" t="s">
        <v>239</v>
      </c>
      <c r="R295" s="32" t="s">
        <v>654</v>
      </c>
      <c r="S295" s="32">
        <v>9700000</v>
      </c>
      <c r="T295" s="32" t="s">
        <v>300</v>
      </c>
      <c r="U295" s="32">
        <f t="shared" si="15"/>
        <v>11.022727272727273</v>
      </c>
      <c r="V295" s="32" t="s">
        <v>316</v>
      </c>
      <c r="X295" s="32">
        <f t="shared" si="14"/>
        <v>11.022727272727273</v>
      </c>
      <c r="Y295" s="32">
        <f>(CPI!$B$112/O295)*X295</f>
        <v>13.992794883444688</v>
      </c>
      <c r="Z295" s="38" t="s">
        <v>262</v>
      </c>
      <c r="AA295" s="35" t="s">
        <v>1412</v>
      </c>
      <c r="AB295" s="32">
        <v>880000</v>
      </c>
      <c r="AC295" s="32" t="s">
        <v>2315</v>
      </c>
      <c r="AH295" s="32" t="s">
        <v>411</v>
      </c>
      <c r="AJ295" s="35" t="s">
        <v>2310</v>
      </c>
      <c r="AK295" s="40" t="s">
        <v>723</v>
      </c>
      <c r="AL295" s="32">
        <v>2018</v>
      </c>
      <c r="AM295" s="32" t="s">
        <v>724</v>
      </c>
      <c r="AN295" s="32" t="s">
        <v>725</v>
      </c>
      <c r="AO295" s="38" t="s">
        <v>726</v>
      </c>
      <c r="AP295" s="35" t="s">
        <v>396</v>
      </c>
    </row>
    <row r="296" spans="1:42" x14ac:dyDescent="0.2">
      <c r="A296" s="40">
        <v>38</v>
      </c>
      <c r="B296" s="40">
        <v>295</v>
      </c>
      <c r="C296" s="40" t="s">
        <v>114</v>
      </c>
      <c r="D296" s="38" t="s">
        <v>218</v>
      </c>
      <c r="E296" s="32" t="s">
        <v>2183</v>
      </c>
      <c r="F296" s="32" t="s">
        <v>237</v>
      </c>
      <c r="G296" s="38" t="s">
        <v>1923</v>
      </c>
      <c r="H296" s="32" t="s">
        <v>151</v>
      </c>
      <c r="I296" s="32" t="s">
        <v>243</v>
      </c>
      <c r="J296" s="32" t="s">
        <v>645</v>
      </c>
      <c r="K296" s="32" t="s">
        <v>129</v>
      </c>
      <c r="L296" s="32" t="s">
        <v>30</v>
      </c>
      <c r="M296" s="32" t="s">
        <v>30</v>
      </c>
      <c r="N296" s="40">
        <v>2016</v>
      </c>
      <c r="O296" s="32">
        <f>VLOOKUP(Data!N331, CPI!$A$2:$B$112, 2, 0)</f>
        <v>240.00700000000001</v>
      </c>
      <c r="P296" s="32" t="s">
        <v>238</v>
      </c>
      <c r="Q296" s="32" t="s">
        <v>239</v>
      </c>
      <c r="R296" s="32" t="s">
        <v>655</v>
      </c>
      <c r="S296" s="32">
        <v>65</v>
      </c>
      <c r="T296" s="32" t="s">
        <v>316</v>
      </c>
      <c r="U296" s="32">
        <v>65</v>
      </c>
      <c r="V296" s="32" t="s">
        <v>316</v>
      </c>
      <c r="X296" s="32">
        <f t="shared" si="14"/>
        <v>65</v>
      </c>
      <c r="Y296" s="32">
        <f>(CPI!$B$112/O296)*X296</f>
        <v>82.514213127117131</v>
      </c>
      <c r="Z296" s="38" t="s">
        <v>262</v>
      </c>
      <c r="AA296" s="35" t="s">
        <v>1448</v>
      </c>
      <c r="AB296" s="32">
        <v>880000</v>
      </c>
      <c r="AC296" s="32" t="s">
        <v>2315</v>
      </c>
      <c r="AH296" s="32" t="s">
        <v>411</v>
      </c>
      <c r="AK296" s="40" t="s">
        <v>723</v>
      </c>
      <c r="AL296" s="32">
        <v>2018</v>
      </c>
      <c r="AM296" s="32" t="s">
        <v>724</v>
      </c>
      <c r="AN296" s="32" t="s">
        <v>725</v>
      </c>
      <c r="AO296" s="38" t="s">
        <v>726</v>
      </c>
      <c r="AP296" s="35" t="s">
        <v>396</v>
      </c>
    </row>
    <row r="297" spans="1:42" x14ac:dyDescent="0.2">
      <c r="A297" s="40">
        <v>38</v>
      </c>
      <c r="B297" s="40">
        <v>296</v>
      </c>
      <c r="C297" s="40" t="s">
        <v>114</v>
      </c>
      <c r="D297" s="38" t="s">
        <v>218</v>
      </c>
      <c r="E297" s="32" t="s">
        <v>2184</v>
      </c>
      <c r="F297" s="32" t="s">
        <v>131</v>
      </c>
      <c r="G297" s="38" t="s">
        <v>133</v>
      </c>
      <c r="H297" s="32" t="s">
        <v>151</v>
      </c>
      <c r="I297" s="32" t="s">
        <v>243</v>
      </c>
      <c r="J297" s="32" t="s">
        <v>645</v>
      </c>
      <c r="K297" s="32" t="s">
        <v>129</v>
      </c>
      <c r="L297" s="32" t="s">
        <v>30</v>
      </c>
      <c r="M297" s="32" t="s">
        <v>30</v>
      </c>
      <c r="N297" s="40">
        <v>2016</v>
      </c>
      <c r="O297" s="32">
        <f>VLOOKUP(Data!N332, CPI!$A$2:$B$112, 2, 0)</f>
        <v>240.00700000000001</v>
      </c>
      <c r="P297" s="32" t="s">
        <v>238</v>
      </c>
      <c r="Q297" s="32" t="s">
        <v>239</v>
      </c>
      <c r="R297" s="32" t="s">
        <v>2312</v>
      </c>
      <c r="S297" s="32">
        <v>250</v>
      </c>
      <c r="T297" s="32" t="s">
        <v>316</v>
      </c>
      <c r="U297" s="32">
        <v>250</v>
      </c>
      <c r="V297" s="32" t="s">
        <v>316</v>
      </c>
      <c r="X297" s="32">
        <f t="shared" si="14"/>
        <v>250</v>
      </c>
      <c r="Y297" s="32">
        <f>(CPI!$B$112/O297)*X297</f>
        <v>317.36235818121969</v>
      </c>
      <c r="Z297" s="38" t="s">
        <v>262</v>
      </c>
      <c r="AA297" s="35" t="s">
        <v>1448</v>
      </c>
      <c r="AB297" s="32">
        <v>37600</v>
      </c>
      <c r="AC297" s="32" t="s">
        <v>2315</v>
      </c>
      <c r="AH297" s="32" t="s">
        <v>411</v>
      </c>
      <c r="AK297" s="40" t="s">
        <v>723</v>
      </c>
      <c r="AL297" s="32">
        <v>2018</v>
      </c>
      <c r="AM297" s="32" t="s">
        <v>724</v>
      </c>
      <c r="AN297" s="32" t="s">
        <v>725</v>
      </c>
      <c r="AO297" s="38" t="s">
        <v>726</v>
      </c>
      <c r="AP297" s="35" t="s">
        <v>396</v>
      </c>
    </row>
    <row r="298" spans="1:42" x14ac:dyDescent="0.2">
      <c r="A298" s="40">
        <v>38</v>
      </c>
      <c r="B298" s="40">
        <v>297</v>
      </c>
      <c r="C298" s="40" t="s">
        <v>114</v>
      </c>
      <c r="D298" s="38" t="s">
        <v>218</v>
      </c>
      <c r="E298" s="32" t="s">
        <v>2184</v>
      </c>
      <c r="F298" s="32" t="s">
        <v>131</v>
      </c>
      <c r="G298" s="38" t="s">
        <v>133</v>
      </c>
      <c r="H298" s="32" t="s">
        <v>151</v>
      </c>
      <c r="I298" s="32" t="s">
        <v>243</v>
      </c>
      <c r="J298" s="32" t="s">
        <v>645</v>
      </c>
      <c r="K298" s="32" t="s">
        <v>129</v>
      </c>
      <c r="L298" s="32" t="s">
        <v>30</v>
      </c>
      <c r="M298" s="32" t="s">
        <v>30</v>
      </c>
      <c r="N298" s="40">
        <v>2016</v>
      </c>
      <c r="O298" s="32">
        <f>VLOOKUP(Data!N333, CPI!$A$2:$B$112, 2, 0)</f>
        <v>240.00700000000001</v>
      </c>
      <c r="P298" s="32" t="s">
        <v>238</v>
      </c>
      <c r="Q298" s="32" t="s">
        <v>239</v>
      </c>
      <c r="R298" s="32" t="s">
        <v>2313</v>
      </c>
      <c r="S298" s="32">
        <v>140</v>
      </c>
      <c r="T298" s="32" t="s">
        <v>316</v>
      </c>
      <c r="U298" s="32">
        <v>140</v>
      </c>
      <c r="V298" s="32" t="s">
        <v>316</v>
      </c>
      <c r="X298" s="32">
        <f t="shared" si="14"/>
        <v>140</v>
      </c>
      <c r="Y298" s="32">
        <f>(CPI!$B$112/O298)*X298</f>
        <v>177.72292058148304</v>
      </c>
      <c r="Z298" s="38" t="s">
        <v>262</v>
      </c>
      <c r="AA298" s="35" t="s">
        <v>1448</v>
      </c>
      <c r="AB298" s="32">
        <v>4800</v>
      </c>
      <c r="AC298" s="32" t="s">
        <v>2315</v>
      </c>
      <c r="AH298" s="32" t="s">
        <v>411</v>
      </c>
      <c r="AK298" s="40" t="s">
        <v>723</v>
      </c>
      <c r="AL298" s="32">
        <v>2018</v>
      </c>
      <c r="AM298" s="32" t="s">
        <v>724</v>
      </c>
      <c r="AN298" s="32" t="s">
        <v>725</v>
      </c>
      <c r="AO298" s="38" t="s">
        <v>726</v>
      </c>
      <c r="AP298" s="35" t="s">
        <v>396</v>
      </c>
    </row>
    <row r="299" spans="1:42" x14ac:dyDescent="0.2">
      <c r="A299" s="40">
        <v>38</v>
      </c>
      <c r="B299" s="40">
        <v>298</v>
      </c>
      <c r="C299" s="40" t="s">
        <v>114</v>
      </c>
      <c r="D299" s="38" t="s">
        <v>218</v>
      </c>
      <c r="E299" s="32" t="s">
        <v>2184</v>
      </c>
      <c r="F299" s="32" t="s">
        <v>131</v>
      </c>
      <c r="G299" s="38" t="s">
        <v>133</v>
      </c>
      <c r="H299" s="32" t="s">
        <v>151</v>
      </c>
      <c r="I299" s="32" t="s">
        <v>243</v>
      </c>
      <c r="J299" s="32" t="s">
        <v>645</v>
      </c>
      <c r="K299" s="32" t="s">
        <v>129</v>
      </c>
      <c r="L299" s="32" t="s">
        <v>30</v>
      </c>
      <c r="M299" s="32" t="s">
        <v>30</v>
      </c>
      <c r="N299" s="40">
        <v>2016</v>
      </c>
      <c r="O299" s="32">
        <f>VLOOKUP(Data!N334, CPI!$A$2:$B$112, 2, 0)</f>
        <v>240.00700000000001</v>
      </c>
      <c r="P299" s="32" t="s">
        <v>238</v>
      </c>
      <c r="Q299" s="32" t="s">
        <v>239</v>
      </c>
      <c r="R299" s="32" t="s">
        <v>2314</v>
      </c>
      <c r="S299" s="32">
        <v>110</v>
      </c>
      <c r="T299" s="32" t="s">
        <v>316</v>
      </c>
      <c r="U299" s="32">
        <v>110</v>
      </c>
      <c r="V299" s="32" t="s">
        <v>316</v>
      </c>
      <c r="X299" s="32">
        <f t="shared" si="14"/>
        <v>110</v>
      </c>
      <c r="Y299" s="32">
        <f>(CPI!$B$112/O299)*X299</f>
        <v>139.63943759973668</v>
      </c>
      <c r="Z299" s="38" t="s">
        <v>262</v>
      </c>
      <c r="AA299" s="35" t="s">
        <v>1448</v>
      </c>
      <c r="AB299" s="32">
        <v>12200</v>
      </c>
      <c r="AC299" s="32" t="s">
        <v>2315</v>
      </c>
      <c r="AH299" s="32" t="s">
        <v>411</v>
      </c>
      <c r="AK299" s="40" t="s">
        <v>723</v>
      </c>
      <c r="AL299" s="32">
        <v>2018</v>
      </c>
      <c r="AM299" s="32" t="s">
        <v>724</v>
      </c>
      <c r="AN299" s="32" t="s">
        <v>725</v>
      </c>
      <c r="AO299" s="38" t="s">
        <v>726</v>
      </c>
      <c r="AP299" s="35" t="s">
        <v>396</v>
      </c>
    </row>
    <row r="300" spans="1:42" x14ac:dyDescent="0.2">
      <c r="A300" s="40">
        <v>38</v>
      </c>
      <c r="B300" s="40">
        <v>299</v>
      </c>
      <c r="C300" s="40" t="s">
        <v>114</v>
      </c>
      <c r="D300" s="38" t="s">
        <v>218</v>
      </c>
      <c r="E300" s="32" t="s">
        <v>2183</v>
      </c>
      <c r="F300" s="32" t="s">
        <v>126</v>
      </c>
      <c r="G300" s="38" t="s">
        <v>153</v>
      </c>
      <c r="H300" s="32" t="s">
        <v>151</v>
      </c>
      <c r="I300" s="32" t="s">
        <v>243</v>
      </c>
      <c r="J300" s="32" t="s">
        <v>645</v>
      </c>
      <c r="K300" s="32" t="s">
        <v>129</v>
      </c>
      <c r="L300" s="32" t="s">
        <v>30</v>
      </c>
      <c r="M300" s="32" t="s">
        <v>30</v>
      </c>
      <c r="N300" s="40">
        <v>2016</v>
      </c>
      <c r="O300" s="32">
        <f>VLOOKUP(Data!N335, CPI!$A$2:$B$112, 2, 0)</f>
        <v>240.00700000000001</v>
      </c>
      <c r="P300" s="32" t="s">
        <v>238</v>
      </c>
      <c r="Q300" s="32" t="s">
        <v>239</v>
      </c>
      <c r="R300" s="32" t="s">
        <v>656</v>
      </c>
      <c r="S300" s="32">
        <v>126510</v>
      </c>
      <c r="T300" s="32" t="s">
        <v>300</v>
      </c>
      <c r="U300" s="32">
        <f t="shared" ref="U300:U330" si="16">S300/AB300</f>
        <v>10.36967213114754</v>
      </c>
      <c r="V300" s="32" t="s">
        <v>316</v>
      </c>
      <c r="X300" s="32">
        <f t="shared" si="14"/>
        <v>10.36967213114754</v>
      </c>
      <c r="Y300" s="32">
        <f>(CPI!$B$112/O300)*X300</f>
        <v>13.163774404428231</v>
      </c>
      <c r="Z300" s="38" t="s">
        <v>262</v>
      </c>
      <c r="AA300" s="35" t="s">
        <v>1446</v>
      </c>
      <c r="AB300" s="32">
        <v>12200</v>
      </c>
      <c r="AC300" s="32" t="s">
        <v>2315</v>
      </c>
      <c r="AH300" s="32" t="s">
        <v>411</v>
      </c>
      <c r="AJ300" s="35" t="s">
        <v>2310</v>
      </c>
      <c r="AK300" s="40" t="s">
        <v>723</v>
      </c>
      <c r="AL300" s="32">
        <v>2018</v>
      </c>
      <c r="AM300" s="32" t="s">
        <v>724</v>
      </c>
      <c r="AN300" s="32" t="s">
        <v>725</v>
      </c>
      <c r="AO300" s="38" t="s">
        <v>726</v>
      </c>
      <c r="AP300" s="35" t="s">
        <v>396</v>
      </c>
    </row>
    <row r="301" spans="1:42" x14ac:dyDescent="0.2">
      <c r="A301" s="40">
        <v>38</v>
      </c>
      <c r="B301" s="40">
        <v>300</v>
      </c>
      <c r="C301" s="40" t="s">
        <v>114</v>
      </c>
      <c r="D301" s="38" t="s">
        <v>218</v>
      </c>
      <c r="E301" s="32" t="s">
        <v>2183</v>
      </c>
      <c r="F301" s="32" t="s">
        <v>126</v>
      </c>
      <c r="G301" s="38" t="s">
        <v>153</v>
      </c>
      <c r="H301" s="32" t="s">
        <v>151</v>
      </c>
      <c r="I301" s="32" t="s">
        <v>243</v>
      </c>
      <c r="J301" s="32" t="s">
        <v>645</v>
      </c>
      <c r="K301" s="32" t="s">
        <v>129</v>
      </c>
      <c r="L301" s="32" t="s">
        <v>30</v>
      </c>
      <c r="M301" s="32" t="s">
        <v>30</v>
      </c>
      <c r="N301" s="40">
        <v>2016</v>
      </c>
      <c r="O301" s="32">
        <f>VLOOKUP(Data!N336, CPI!$A$2:$B$112, 2, 0)</f>
        <v>240.00700000000001</v>
      </c>
      <c r="P301" s="32" t="s">
        <v>238</v>
      </c>
      <c r="Q301" s="32" t="s">
        <v>239</v>
      </c>
      <c r="R301" s="32" t="s">
        <v>657</v>
      </c>
      <c r="S301" s="32">
        <v>49347</v>
      </c>
      <c r="T301" s="32" t="s">
        <v>300</v>
      </c>
      <c r="U301" s="32">
        <f t="shared" si="16"/>
        <v>10.280625000000001</v>
      </c>
      <c r="V301" s="32" t="s">
        <v>316</v>
      </c>
      <c r="X301" s="32">
        <f t="shared" si="14"/>
        <v>10.280625000000001</v>
      </c>
      <c r="Y301" s="32">
        <f>(CPI!$B$112/O301)*X301</f>
        <v>13.050733574307209</v>
      </c>
      <c r="Z301" s="38" t="s">
        <v>262</v>
      </c>
      <c r="AA301" s="35" t="s">
        <v>1446</v>
      </c>
      <c r="AB301" s="32">
        <v>4800</v>
      </c>
      <c r="AC301" s="32" t="s">
        <v>2315</v>
      </c>
      <c r="AH301" s="32" t="s">
        <v>411</v>
      </c>
      <c r="AJ301" s="35" t="s">
        <v>2310</v>
      </c>
      <c r="AK301" s="40" t="s">
        <v>723</v>
      </c>
      <c r="AL301" s="32">
        <v>2018</v>
      </c>
      <c r="AM301" s="32" t="s">
        <v>724</v>
      </c>
      <c r="AN301" s="32" t="s">
        <v>725</v>
      </c>
      <c r="AO301" s="38" t="s">
        <v>726</v>
      </c>
      <c r="AP301" s="35" t="s">
        <v>396</v>
      </c>
    </row>
    <row r="302" spans="1:42" x14ac:dyDescent="0.2">
      <c r="A302" s="40">
        <v>38</v>
      </c>
      <c r="B302" s="40">
        <v>301</v>
      </c>
      <c r="C302" s="40" t="s">
        <v>114</v>
      </c>
      <c r="D302" s="38" t="s">
        <v>218</v>
      </c>
      <c r="E302" s="32" t="s">
        <v>2183</v>
      </c>
      <c r="F302" s="32" t="s">
        <v>126</v>
      </c>
      <c r="G302" s="38" t="s">
        <v>153</v>
      </c>
      <c r="H302" s="32" t="s">
        <v>151</v>
      </c>
      <c r="I302" s="32" t="s">
        <v>243</v>
      </c>
      <c r="J302" s="32" t="s">
        <v>645</v>
      </c>
      <c r="K302" s="32" t="s">
        <v>129</v>
      </c>
      <c r="L302" s="32" t="s">
        <v>30</v>
      </c>
      <c r="M302" s="32" t="s">
        <v>30</v>
      </c>
      <c r="N302" s="40">
        <v>2016</v>
      </c>
      <c r="O302" s="32">
        <f>VLOOKUP(Data!N337, CPI!$A$2:$B$112, 2, 0)</f>
        <v>240.00700000000001</v>
      </c>
      <c r="P302" s="32" t="s">
        <v>238</v>
      </c>
      <c r="Q302" s="32" t="s">
        <v>239</v>
      </c>
      <c r="R302" s="32" t="s">
        <v>658</v>
      </c>
      <c r="S302" s="32">
        <v>202241</v>
      </c>
      <c r="T302" s="32" t="s">
        <v>300</v>
      </c>
      <c r="U302" s="32">
        <f t="shared" si="16"/>
        <v>5.3787500000000001</v>
      </c>
      <c r="V302" s="32" t="s">
        <v>316</v>
      </c>
      <c r="X302" s="32">
        <f t="shared" si="14"/>
        <v>5.3787500000000001</v>
      </c>
      <c r="Y302" s="32">
        <f>(CPI!$B$112/O302)*X302</f>
        <v>6.8280511362689422</v>
      </c>
      <c r="Z302" s="38" t="s">
        <v>262</v>
      </c>
      <c r="AA302" s="35" t="s">
        <v>1446</v>
      </c>
      <c r="AB302" s="32">
        <v>37600</v>
      </c>
      <c r="AC302" s="32" t="s">
        <v>2315</v>
      </c>
      <c r="AH302" s="32" t="s">
        <v>411</v>
      </c>
      <c r="AJ302" s="35" t="s">
        <v>2310</v>
      </c>
      <c r="AK302" s="40" t="s">
        <v>723</v>
      </c>
      <c r="AL302" s="32">
        <v>2018</v>
      </c>
      <c r="AM302" s="32" t="s">
        <v>724</v>
      </c>
      <c r="AN302" s="32" t="s">
        <v>725</v>
      </c>
      <c r="AO302" s="38" t="s">
        <v>726</v>
      </c>
      <c r="AP302" s="35" t="s">
        <v>396</v>
      </c>
    </row>
    <row r="303" spans="1:42" x14ac:dyDescent="0.2">
      <c r="A303" s="40">
        <v>38</v>
      </c>
      <c r="B303" s="40">
        <v>302</v>
      </c>
      <c r="C303" s="40" t="s">
        <v>114</v>
      </c>
      <c r="D303" s="38" t="s">
        <v>218</v>
      </c>
      <c r="E303" s="32" t="s">
        <v>2183</v>
      </c>
      <c r="F303" s="32" t="s">
        <v>126</v>
      </c>
      <c r="G303" s="38" t="s">
        <v>152</v>
      </c>
      <c r="H303" s="32" t="s">
        <v>151</v>
      </c>
      <c r="I303" s="32" t="s">
        <v>243</v>
      </c>
      <c r="J303" s="32" t="s">
        <v>645</v>
      </c>
      <c r="K303" s="32" t="s">
        <v>129</v>
      </c>
      <c r="L303" s="32" t="s">
        <v>30</v>
      </c>
      <c r="M303" s="32" t="s">
        <v>30</v>
      </c>
      <c r="N303" s="40">
        <v>2016</v>
      </c>
      <c r="O303" s="32">
        <f>VLOOKUP(Data!N338, CPI!$A$2:$B$112, 2, 0)</f>
        <v>240.00700000000001</v>
      </c>
      <c r="P303" s="32" t="s">
        <v>238</v>
      </c>
      <c r="Q303" s="32" t="s">
        <v>239</v>
      </c>
      <c r="R303" s="32" t="s">
        <v>659</v>
      </c>
      <c r="S303" s="58">
        <v>361022</v>
      </c>
      <c r="T303" s="32" t="s">
        <v>300</v>
      </c>
      <c r="U303" s="32">
        <f t="shared" si="16"/>
        <v>29.591967213114753</v>
      </c>
      <c r="V303" s="32" t="s">
        <v>316</v>
      </c>
      <c r="X303" s="32">
        <f t="shared" si="14"/>
        <v>29.591967213114753</v>
      </c>
      <c r="Y303" s="32">
        <f>(CPI!$B$112/O303)*X303</f>
        <v>37.565505991901738</v>
      </c>
      <c r="Z303" s="38" t="s">
        <v>262</v>
      </c>
      <c r="AA303" s="35" t="s">
        <v>1446</v>
      </c>
      <c r="AB303" s="32">
        <v>12200</v>
      </c>
      <c r="AC303" s="32" t="s">
        <v>2315</v>
      </c>
      <c r="AH303" s="32" t="s">
        <v>411</v>
      </c>
      <c r="AJ303" s="35" t="s">
        <v>2310</v>
      </c>
      <c r="AK303" s="40" t="s">
        <v>723</v>
      </c>
      <c r="AL303" s="32">
        <v>2018</v>
      </c>
      <c r="AM303" s="32" t="s">
        <v>724</v>
      </c>
      <c r="AN303" s="32" t="s">
        <v>725</v>
      </c>
      <c r="AO303" s="38" t="s">
        <v>726</v>
      </c>
      <c r="AP303" s="35" t="s">
        <v>396</v>
      </c>
    </row>
    <row r="304" spans="1:42" x14ac:dyDescent="0.2">
      <c r="A304" s="40">
        <v>38</v>
      </c>
      <c r="B304" s="40">
        <v>303</v>
      </c>
      <c r="C304" s="40" t="s">
        <v>114</v>
      </c>
      <c r="D304" s="38" t="s">
        <v>218</v>
      </c>
      <c r="E304" s="32" t="s">
        <v>2183</v>
      </c>
      <c r="F304" s="32" t="s">
        <v>126</v>
      </c>
      <c r="G304" s="38" t="s">
        <v>152</v>
      </c>
      <c r="H304" s="32" t="s">
        <v>151</v>
      </c>
      <c r="I304" s="32" t="s">
        <v>243</v>
      </c>
      <c r="J304" s="32" t="s">
        <v>645</v>
      </c>
      <c r="K304" s="32" t="s">
        <v>129</v>
      </c>
      <c r="L304" s="32" t="s">
        <v>30</v>
      </c>
      <c r="M304" s="32" t="s">
        <v>30</v>
      </c>
      <c r="N304" s="40">
        <v>2016</v>
      </c>
      <c r="O304" s="32">
        <f>VLOOKUP(Data!N339, CPI!$A$2:$B$112, 2, 0)</f>
        <v>240.00700000000001</v>
      </c>
      <c r="P304" s="32" t="s">
        <v>238</v>
      </c>
      <c r="Q304" s="32" t="s">
        <v>239</v>
      </c>
      <c r="R304" s="32" t="s">
        <v>660</v>
      </c>
      <c r="S304" s="58">
        <v>140823</v>
      </c>
      <c r="T304" s="32" t="s">
        <v>300</v>
      </c>
      <c r="U304" s="32">
        <f t="shared" si="16"/>
        <v>29.338125000000002</v>
      </c>
      <c r="V304" s="32" t="s">
        <v>316</v>
      </c>
      <c r="X304" s="32">
        <f t="shared" si="14"/>
        <v>29.338125000000002</v>
      </c>
      <c r="Y304" s="32">
        <f>(CPI!$B$112/O304)*X304</f>
        <v>37.243266138461586</v>
      </c>
      <c r="Z304" s="38" t="s">
        <v>262</v>
      </c>
      <c r="AA304" s="35" t="s">
        <v>1446</v>
      </c>
      <c r="AB304" s="32">
        <v>4800</v>
      </c>
      <c r="AC304" s="32" t="s">
        <v>2315</v>
      </c>
      <c r="AH304" s="32" t="s">
        <v>411</v>
      </c>
      <c r="AJ304" s="35" t="s">
        <v>2310</v>
      </c>
      <c r="AK304" s="40" t="s">
        <v>723</v>
      </c>
      <c r="AL304" s="32">
        <v>2018</v>
      </c>
      <c r="AM304" s="32" t="s">
        <v>724</v>
      </c>
      <c r="AN304" s="32" t="s">
        <v>725</v>
      </c>
      <c r="AO304" s="38" t="s">
        <v>726</v>
      </c>
      <c r="AP304" s="35" t="s">
        <v>396</v>
      </c>
    </row>
    <row r="305" spans="1:42" x14ac:dyDescent="0.2">
      <c r="A305" s="40">
        <v>38</v>
      </c>
      <c r="B305" s="40">
        <v>304</v>
      </c>
      <c r="C305" s="40" t="s">
        <v>114</v>
      </c>
      <c r="D305" s="38" t="s">
        <v>218</v>
      </c>
      <c r="E305" s="32" t="s">
        <v>2183</v>
      </c>
      <c r="F305" s="32" t="s">
        <v>126</v>
      </c>
      <c r="G305" s="38" t="s">
        <v>152</v>
      </c>
      <c r="H305" s="32" t="s">
        <v>151</v>
      </c>
      <c r="I305" s="32" t="s">
        <v>243</v>
      </c>
      <c r="J305" s="32" t="s">
        <v>645</v>
      </c>
      <c r="K305" s="32" t="s">
        <v>129</v>
      </c>
      <c r="L305" s="32" t="s">
        <v>30</v>
      </c>
      <c r="M305" s="32" t="s">
        <v>30</v>
      </c>
      <c r="N305" s="40">
        <v>2016</v>
      </c>
      <c r="O305" s="32">
        <f>VLOOKUP(Data!N340, CPI!$A$2:$B$112, 2, 0)</f>
        <v>240.00700000000001</v>
      </c>
      <c r="P305" s="32" t="s">
        <v>238</v>
      </c>
      <c r="Q305" s="32" t="s">
        <v>239</v>
      </c>
      <c r="R305" s="32" t="s">
        <v>661</v>
      </c>
      <c r="S305" s="58">
        <v>182332</v>
      </c>
      <c r="T305" s="32" t="s">
        <v>300</v>
      </c>
      <c r="U305" s="32">
        <f t="shared" si="16"/>
        <v>4.849255319148936</v>
      </c>
      <c r="V305" s="32" t="s">
        <v>316</v>
      </c>
      <c r="X305" s="32">
        <f t="shared" si="14"/>
        <v>4.849255319148936</v>
      </c>
      <c r="Y305" s="32">
        <f>(CPI!$B$112/O305)*X305</f>
        <v>6.1558844140317186</v>
      </c>
      <c r="Z305" s="38" t="s">
        <v>262</v>
      </c>
      <c r="AA305" s="35" t="s">
        <v>1446</v>
      </c>
      <c r="AB305" s="32">
        <v>37600</v>
      </c>
      <c r="AC305" s="32" t="s">
        <v>2315</v>
      </c>
      <c r="AH305" s="32" t="s">
        <v>411</v>
      </c>
      <c r="AJ305" s="35" t="s">
        <v>2310</v>
      </c>
      <c r="AK305" s="40" t="s">
        <v>723</v>
      </c>
      <c r="AL305" s="32">
        <v>2018</v>
      </c>
      <c r="AM305" s="32" t="s">
        <v>724</v>
      </c>
      <c r="AN305" s="32" t="s">
        <v>725</v>
      </c>
      <c r="AO305" s="38" t="s">
        <v>726</v>
      </c>
      <c r="AP305" s="35" t="s">
        <v>396</v>
      </c>
    </row>
    <row r="306" spans="1:42" x14ac:dyDescent="0.2">
      <c r="A306" s="40">
        <v>38</v>
      </c>
      <c r="B306" s="40">
        <v>305</v>
      </c>
      <c r="C306" s="40" t="s">
        <v>114</v>
      </c>
      <c r="D306" s="38" t="s">
        <v>218</v>
      </c>
      <c r="E306" s="32" t="s">
        <v>2183</v>
      </c>
      <c r="F306" s="32" t="s">
        <v>126</v>
      </c>
      <c r="G306" s="38" t="s">
        <v>153</v>
      </c>
      <c r="H306" s="32" t="s">
        <v>151</v>
      </c>
      <c r="I306" s="32" t="s">
        <v>243</v>
      </c>
      <c r="J306" s="32" t="s">
        <v>645</v>
      </c>
      <c r="K306" s="32" t="s">
        <v>129</v>
      </c>
      <c r="L306" s="32" t="s">
        <v>30</v>
      </c>
      <c r="M306" s="32" t="s">
        <v>30</v>
      </c>
      <c r="N306" s="40">
        <v>2016</v>
      </c>
      <c r="O306" s="32">
        <f>VLOOKUP(Data!N341, CPI!$A$2:$B$112, 2, 0)</f>
        <v>240.00700000000001</v>
      </c>
      <c r="P306" s="32" t="s">
        <v>238</v>
      </c>
      <c r="Q306" s="32" t="s">
        <v>239</v>
      </c>
      <c r="R306" s="32" t="s">
        <v>662</v>
      </c>
      <c r="S306" s="58">
        <v>95462</v>
      </c>
      <c r="T306" s="32" t="s">
        <v>300</v>
      </c>
      <c r="U306" s="32">
        <f t="shared" si="16"/>
        <v>7.8247540983606561</v>
      </c>
      <c r="V306" s="32" t="s">
        <v>316</v>
      </c>
      <c r="X306" s="32">
        <f t="shared" si="14"/>
        <v>7.8247540983606561</v>
      </c>
      <c r="Y306" s="32">
        <f>(CPI!$B$112/O306)*X306</f>
        <v>9.9331296513756051</v>
      </c>
      <c r="Z306" s="38" t="s">
        <v>262</v>
      </c>
      <c r="AA306" s="35" t="s">
        <v>1446</v>
      </c>
      <c r="AB306" s="32">
        <v>12200</v>
      </c>
      <c r="AC306" s="32" t="s">
        <v>2315</v>
      </c>
      <c r="AH306" s="32" t="s">
        <v>411</v>
      </c>
      <c r="AJ306" s="35" t="s">
        <v>2310</v>
      </c>
      <c r="AK306" s="40" t="s">
        <v>723</v>
      </c>
      <c r="AL306" s="32">
        <v>2018</v>
      </c>
      <c r="AM306" s="32" t="s">
        <v>724</v>
      </c>
      <c r="AN306" s="32" t="s">
        <v>725</v>
      </c>
      <c r="AO306" s="38" t="s">
        <v>726</v>
      </c>
      <c r="AP306" s="35" t="s">
        <v>396</v>
      </c>
    </row>
    <row r="307" spans="1:42" x14ac:dyDescent="0.2">
      <c r="A307" s="40">
        <v>38</v>
      </c>
      <c r="B307" s="40">
        <v>306</v>
      </c>
      <c r="C307" s="40" t="s">
        <v>114</v>
      </c>
      <c r="D307" s="38" t="s">
        <v>218</v>
      </c>
      <c r="E307" s="32" t="s">
        <v>2183</v>
      </c>
      <c r="F307" s="32" t="s">
        <v>126</v>
      </c>
      <c r="G307" s="38" t="s">
        <v>153</v>
      </c>
      <c r="H307" s="32" t="s">
        <v>151</v>
      </c>
      <c r="I307" s="32" t="s">
        <v>243</v>
      </c>
      <c r="J307" s="32" t="s">
        <v>645</v>
      </c>
      <c r="K307" s="32" t="s">
        <v>129</v>
      </c>
      <c r="L307" s="32" t="s">
        <v>30</v>
      </c>
      <c r="M307" s="32" t="s">
        <v>30</v>
      </c>
      <c r="N307" s="40">
        <v>2016</v>
      </c>
      <c r="O307" s="32">
        <f>VLOOKUP(Data!N342, CPI!$A$2:$B$112, 2, 0)</f>
        <v>240.00700000000001</v>
      </c>
      <c r="P307" s="32" t="s">
        <v>238</v>
      </c>
      <c r="Q307" s="32" t="s">
        <v>239</v>
      </c>
      <c r="R307" s="32" t="s">
        <v>663</v>
      </c>
      <c r="S307" s="58">
        <v>37237</v>
      </c>
      <c r="T307" s="32" t="s">
        <v>300</v>
      </c>
      <c r="U307" s="32">
        <f t="shared" si="16"/>
        <v>7.7577083333333334</v>
      </c>
      <c r="V307" s="32" t="s">
        <v>316</v>
      </c>
      <c r="X307" s="32">
        <f t="shared" si="14"/>
        <v>7.7577083333333334</v>
      </c>
      <c r="Y307" s="32">
        <f>(CPI!$B$112/O307)*X307</f>
        <v>9.8480184429950661</v>
      </c>
      <c r="Z307" s="38" t="s">
        <v>262</v>
      </c>
      <c r="AA307" s="35" t="s">
        <v>1446</v>
      </c>
      <c r="AB307" s="32">
        <v>4800</v>
      </c>
      <c r="AC307" s="32" t="s">
        <v>2315</v>
      </c>
      <c r="AH307" s="32" t="s">
        <v>411</v>
      </c>
      <c r="AJ307" s="35" t="s">
        <v>2310</v>
      </c>
      <c r="AK307" s="40" t="s">
        <v>723</v>
      </c>
      <c r="AL307" s="32">
        <v>2018</v>
      </c>
      <c r="AM307" s="32" t="s">
        <v>724</v>
      </c>
      <c r="AN307" s="32" t="s">
        <v>725</v>
      </c>
      <c r="AO307" s="38" t="s">
        <v>726</v>
      </c>
      <c r="AP307" s="35" t="s">
        <v>396</v>
      </c>
    </row>
    <row r="308" spans="1:42" x14ac:dyDescent="0.2">
      <c r="A308" s="40">
        <v>38</v>
      </c>
      <c r="B308" s="40">
        <v>307</v>
      </c>
      <c r="C308" s="40" t="s">
        <v>114</v>
      </c>
      <c r="D308" s="38" t="s">
        <v>218</v>
      </c>
      <c r="E308" s="32" t="s">
        <v>2183</v>
      </c>
      <c r="F308" s="32" t="s">
        <v>126</v>
      </c>
      <c r="G308" s="38" t="s">
        <v>153</v>
      </c>
      <c r="H308" s="32" t="s">
        <v>151</v>
      </c>
      <c r="I308" s="32" t="s">
        <v>243</v>
      </c>
      <c r="J308" s="32" t="s">
        <v>645</v>
      </c>
      <c r="K308" s="32" t="s">
        <v>129</v>
      </c>
      <c r="L308" s="32" t="s">
        <v>30</v>
      </c>
      <c r="M308" s="32" t="s">
        <v>30</v>
      </c>
      <c r="N308" s="40">
        <v>2016</v>
      </c>
      <c r="O308" s="32">
        <f>VLOOKUP(Data!N343, CPI!$A$2:$B$112, 2, 0)</f>
        <v>240.00700000000001</v>
      </c>
      <c r="P308" s="32" t="s">
        <v>238</v>
      </c>
      <c r="Q308" s="32" t="s">
        <v>239</v>
      </c>
      <c r="R308" s="32" t="s">
        <v>664</v>
      </c>
      <c r="S308" s="58">
        <v>63359</v>
      </c>
      <c r="T308" s="32" t="s">
        <v>300</v>
      </c>
      <c r="U308" s="32">
        <f t="shared" si="16"/>
        <v>1.6850797872340426</v>
      </c>
      <c r="V308" s="32" t="s">
        <v>316</v>
      </c>
      <c r="X308" s="32">
        <f t="shared" ref="X308:X339" si="17">U308</f>
        <v>1.6850797872340426</v>
      </c>
      <c r="Y308" s="32">
        <f>(CPI!$B$112/O308)*X308</f>
        <v>2.1391235800004149</v>
      </c>
      <c r="Z308" s="38" t="s">
        <v>262</v>
      </c>
      <c r="AA308" s="35" t="s">
        <v>1446</v>
      </c>
      <c r="AB308" s="32">
        <v>37600</v>
      </c>
      <c r="AC308" s="32" t="s">
        <v>2315</v>
      </c>
      <c r="AH308" s="32" t="s">
        <v>411</v>
      </c>
      <c r="AJ308" s="35" t="s">
        <v>2310</v>
      </c>
      <c r="AK308" s="40" t="s">
        <v>723</v>
      </c>
      <c r="AL308" s="32">
        <v>2018</v>
      </c>
      <c r="AM308" s="32" t="s">
        <v>724</v>
      </c>
      <c r="AN308" s="32" t="s">
        <v>725</v>
      </c>
      <c r="AO308" s="38" t="s">
        <v>726</v>
      </c>
      <c r="AP308" s="35" t="s">
        <v>396</v>
      </c>
    </row>
    <row r="309" spans="1:42" x14ac:dyDescent="0.2">
      <c r="A309" s="40">
        <v>38</v>
      </c>
      <c r="B309" s="40">
        <v>308</v>
      </c>
      <c r="C309" s="40" t="s">
        <v>114</v>
      </c>
      <c r="D309" s="38" t="s">
        <v>218</v>
      </c>
      <c r="E309" s="32" t="s">
        <v>2183</v>
      </c>
      <c r="F309" s="32" t="s">
        <v>126</v>
      </c>
      <c r="G309" s="38" t="s">
        <v>60</v>
      </c>
      <c r="H309" s="32" t="s">
        <v>151</v>
      </c>
      <c r="I309" s="32" t="s">
        <v>243</v>
      </c>
      <c r="J309" s="32" t="s">
        <v>645</v>
      </c>
      <c r="K309" s="32" t="s">
        <v>129</v>
      </c>
      <c r="L309" s="32" t="s">
        <v>30</v>
      </c>
      <c r="M309" s="32" t="s">
        <v>30</v>
      </c>
      <c r="N309" s="40">
        <v>2016</v>
      </c>
      <c r="O309" s="32">
        <f>VLOOKUP(Data!N344, CPI!$A$2:$B$112, 2, 0)</f>
        <v>240.00700000000001</v>
      </c>
      <c r="P309" s="32" t="s">
        <v>238</v>
      </c>
      <c r="Q309" s="32" t="s">
        <v>239</v>
      </c>
      <c r="R309" s="32" t="s">
        <v>665</v>
      </c>
      <c r="S309" s="58">
        <v>1555170</v>
      </c>
      <c r="T309" s="32" t="s">
        <v>300</v>
      </c>
      <c r="U309" s="32">
        <f t="shared" si="16"/>
        <v>127.47295081967214</v>
      </c>
      <c r="V309" s="32" t="s">
        <v>316</v>
      </c>
      <c r="X309" s="32">
        <f t="shared" si="17"/>
        <v>127.47295081967214</v>
      </c>
      <c r="Y309" s="32">
        <f>(CPI!$B$112/O309)*X309</f>
        <v>161.82046510579917</v>
      </c>
      <c r="Z309" s="38" t="s">
        <v>262</v>
      </c>
      <c r="AA309" s="35" t="s">
        <v>1446</v>
      </c>
      <c r="AB309" s="32">
        <v>12200</v>
      </c>
      <c r="AC309" s="32" t="s">
        <v>2315</v>
      </c>
      <c r="AH309" s="32" t="s">
        <v>411</v>
      </c>
      <c r="AJ309" s="35" t="s">
        <v>2310</v>
      </c>
      <c r="AK309" s="40" t="s">
        <v>723</v>
      </c>
      <c r="AL309" s="32">
        <v>2018</v>
      </c>
      <c r="AM309" s="32" t="s">
        <v>724</v>
      </c>
      <c r="AN309" s="32" t="s">
        <v>725</v>
      </c>
      <c r="AO309" s="38" t="s">
        <v>726</v>
      </c>
      <c r="AP309" s="35" t="s">
        <v>396</v>
      </c>
    </row>
    <row r="310" spans="1:42" x14ac:dyDescent="0.2">
      <c r="A310" s="40">
        <v>38</v>
      </c>
      <c r="B310" s="40">
        <v>309</v>
      </c>
      <c r="C310" s="40" t="s">
        <v>114</v>
      </c>
      <c r="D310" s="38" t="s">
        <v>218</v>
      </c>
      <c r="E310" s="32" t="s">
        <v>2183</v>
      </c>
      <c r="F310" s="32" t="s">
        <v>126</v>
      </c>
      <c r="G310" s="38" t="s">
        <v>60</v>
      </c>
      <c r="H310" s="32" t="s">
        <v>151</v>
      </c>
      <c r="I310" s="32" t="s">
        <v>243</v>
      </c>
      <c r="J310" s="32" t="s">
        <v>645</v>
      </c>
      <c r="K310" s="32" t="s">
        <v>129</v>
      </c>
      <c r="L310" s="32" t="s">
        <v>30</v>
      </c>
      <c r="M310" s="32" t="s">
        <v>30</v>
      </c>
      <c r="N310" s="40">
        <v>2016</v>
      </c>
      <c r="O310" s="32">
        <f>VLOOKUP(Data!N345, CPI!$A$2:$B$112, 2, 0)</f>
        <v>240.00700000000001</v>
      </c>
      <c r="P310" s="32" t="s">
        <v>238</v>
      </c>
      <c r="Q310" s="32" t="s">
        <v>239</v>
      </c>
      <c r="R310" s="32" t="s">
        <v>666</v>
      </c>
      <c r="S310" s="58">
        <v>606620</v>
      </c>
      <c r="T310" s="32" t="s">
        <v>300</v>
      </c>
      <c r="U310" s="32">
        <f t="shared" si="16"/>
        <v>126.37916666666666</v>
      </c>
      <c r="V310" s="32" t="s">
        <v>316</v>
      </c>
      <c r="X310" s="32">
        <f t="shared" si="17"/>
        <v>126.37916666666666</v>
      </c>
      <c r="Y310" s="32">
        <f>(CPI!$B$112/O310)*X310</f>
        <v>160.43196143324292</v>
      </c>
      <c r="Z310" s="38" t="s">
        <v>262</v>
      </c>
      <c r="AA310" s="35" t="s">
        <v>1446</v>
      </c>
      <c r="AB310" s="32">
        <v>4800</v>
      </c>
      <c r="AC310" s="32" t="s">
        <v>2315</v>
      </c>
      <c r="AH310" s="32" t="s">
        <v>411</v>
      </c>
      <c r="AJ310" s="35" t="s">
        <v>2310</v>
      </c>
      <c r="AK310" s="40" t="s">
        <v>723</v>
      </c>
      <c r="AL310" s="32">
        <v>2018</v>
      </c>
      <c r="AM310" s="32" t="s">
        <v>724</v>
      </c>
      <c r="AN310" s="32" t="s">
        <v>725</v>
      </c>
      <c r="AO310" s="38" t="s">
        <v>726</v>
      </c>
      <c r="AP310" s="35" t="s">
        <v>396</v>
      </c>
    </row>
    <row r="311" spans="1:42" x14ac:dyDescent="0.2">
      <c r="A311" s="40">
        <v>38</v>
      </c>
      <c r="B311" s="40">
        <v>310</v>
      </c>
      <c r="C311" s="40" t="s">
        <v>114</v>
      </c>
      <c r="D311" s="38" t="s">
        <v>218</v>
      </c>
      <c r="E311" s="32" t="s">
        <v>2183</v>
      </c>
      <c r="F311" s="32" t="s">
        <v>126</v>
      </c>
      <c r="G311" s="38" t="s">
        <v>60</v>
      </c>
      <c r="H311" s="32" t="s">
        <v>151</v>
      </c>
      <c r="I311" s="32" t="s">
        <v>243</v>
      </c>
      <c r="J311" s="32" t="s">
        <v>645</v>
      </c>
      <c r="K311" s="32" t="s">
        <v>129</v>
      </c>
      <c r="L311" s="32" t="s">
        <v>30</v>
      </c>
      <c r="M311" s="32" t="s">
        <v>30</v>
      </c>
      <c r="N311" s="40">
        <v>2016</v>
      </c>
      <c r="O311" s="32">
        <f>VLOOKUP(Data!N346, CPI!$A$2:$B$112, 2, 0)</f>
        <v>240.00700000000001</v>
      </c>
      <c r="P311" s="32" t="s">
        <v>238</v>
      </c>
      <c r="Q311" s="32" t="s">
        <v>239</v>
      </c>
      <c r="R311" s="32" t="s">
        <v>667</v>
      </c>
      <c r="S311" s="58">
        <v>681105</v>
      </c>
      <c r="T311" s="32" t="s">
        <v>300</v>
      </c>
      <c r="U311" s="32">
        <f t="shared" si="16"/>
        <v>18.114494680851063</v>
      </c>
      <c r="V311" s="32" t="s">
        <v>316</v>
      </c>
      <c r="X311" s="32">
        <f t="shared" si="17"/>
        <v>18.114494680851063</v>
      </c>
      <c r="Y311" s="32">
        <f>(CPI!$B$112/O311)*X311</f>
        <v>22.995434996704219</v>
      </c>
      <c r="Z311" s="38" t="s">
        <v>262</v>
      </c>
      <c r="AA311" s="35" t="s">
        <v>1446</v>
      </c>
      <c r="AB311" s="32">
        <v>37600</v>
      </c>
      <c r="AC311" s="32" t="s">
        <v>2315</v>
      </c>
      <c r="AH311" s="32" t="s">
        <v>411</v>
      </c>
      <c r="AJ311" s="35" t="s">
        <v>2310</v>
      </c>
      <c r="AK311" s="40" t="s">
        <v>723</v>
      </c>
      <c r="AL311" s="32">
        <v>2018</v>
      </c>
      <c r="AM311" s="32" t="s">
        <v>724</v>
      </c>
      <c r="AN311" s="32" t="s">
        <v>725</v>
      </c>
      <c r="AO311" s="38" t="s">
        <v>726</v>
      </c>
      <c r="AP311" s="35" t="s">
        <v>396</v>
      </c>
    </row>
    <row r="312" spans="1:42" x14ac:dyDescent="0.2">
      <c r="A312" s="40">
        <v>38</v>
      </c>
      <c r="B312" s="40">
        <v>311</v>
      </c>
      <c r="C312" s="40" t="s">
        <v>114</v>
      </c>
      <c r="D312" s="38" t="s">
        <v>218</v>
      </c>
      <c r="E312" s="32" t="s">
        <v>2183</v>
      </c>
      <c r="F312" s="32" t="s">
        <v>126</v>
      </c>
      <c r="G312" s="54" t="s">
        <v>2909</v>
      </c>
      <c r="H312" s="32" t="s">
        <v>151</v>
      </c>
      <c r="I312" s="32" t="s">
        <v>243</v>
      </c>
      <c r="J312" s="32" t="s">
        <v>645</v>
      </c>
      <c r="K312" s="32" t="s">
        <v>129</v>
      </c>
      <c r="L312" s="32" t="s">
        <v>30</v>
      </c>
      <c r="M312" s="32" t="s">
        <v>30</v>
      </c>
      <c r="N312" s="40">
        <v>2016</v>
      </c>
      <c r="O312" s="32">
        <f>VLOOKUP(Data!N347, CPI!$A$2:$B$112, 2, 0)</f>
        <v>240.00700000000001</v>
      </c>
      <c r="P312" s="32" t="s">
        <v>238</v>
      </c>
      <c r="Q312" s="32" t="s">
        <v>239</v>
      </c>
      <c r="R312" s="32" t="s">
        <v>668</v>
      </c>
      <c r="S312" s="32">
        <v>8596</v>
      </c>
      <c r="T312" s="32" t="s">
        <v>300</v>
      </c>
      <c r="U312" s="32">
        <f t="shared" si="16"/>
        <v>0.70459016393442619</v>
      </c>
      <c r="V312" s="32" t="s">
        <v>316</v>
      </c>
      <c r="X312" s="32">
        <f t="shared" si="17"/>
        <v>0.70459016393442619</v>
      </c>
      <c r="Y312" s="32">
        <f>(CPI!$B$112/O312)*X312</f>
        <v>0.89444158391008677</v>
      </c>
      <c r="Z312" s="38" t="s">
        <v>262</v>
      </c>
      <c r="AA312" s="35" t="s">
        <v>1446</v>
      </c>
      <c r="AB312" s="32">
        <v>12200</v>
      </c>
      <c r="AC312" s="32" t="s">
        <v>2315</v>
      </c>
      <c r="AH312" s="32" t="s">
        <v>411</v>
      </c>
      <c r="AJ312" s="35" t="s">
        <v>2310</v>
      </c>
      <c r="AK312" s="40" t="s">
        <v>723</v>
      </c>
      <c r="AL312" s="32">
        <v>2018</v>
      </c>
      <c r="AM312" s="32" t="s">
        <v>724</v>
      </c>
      <c r="AN312" s="32" t="s">
        <v>725</v>
      </c>
      <c r="AO312" s="38" t="s">
        <v>726</v>
      </c>
      <c r="AP312" s="35" t="s">
        <v>396</v>
      </c>
    </row>
    <row r="313" spans="1:42" x14ac:dyDescent="0.2">
      <c r="A313" s="40">
        <v>38</v>
      </c>
      <c r="B313" s="40">
        <v>312</v>
      </c>
      <c r="C313" s="40" t="s">
        <v>114</v>
      </c>
      <c r="D313" s="38" t="s">
        <v>218</v>
      </c>
      <c r="E313" s="32" t="s">
        <v>2183</v>
      </c>
      <c r="F313" s="32" t="s">
        <v>126</v>
      </c>
      <c r="G313" s="54" t="s">
        <v>2909</v>
      </c>
      <c r="H313" s="32" t="s">
        <v>151</v>
      </c>
      <c r="I313" s="32" t="s">
        <v>243</v>
      </c>
      <c r="J313" s="32" t="s">
        <v>645</v>
      </c>
      <c r="K313" s="32" t="s">
        <v>129</v>
      </c>
      <c r="L313" s="32" t="s">
        <v>30</v>
      </c>
      <c r="M313" s="32" t="s">
        <v>30</v>
      </c>
      <c r="N313" s="40">
        <v>2016</v>
      </c>
      <c r="O313" s="32">
        <f>VLOOKUP(Data!N348, CPI!$A$2:$B$112, 2, 0)</f>
        <v>240.00700000000001</v>
      </c>
      <c r="P313" s="32" t="s">
        <v>238</v>
      </c>
      <c r="Q313" s="32" t="s">
        <v>239</v>
      </c>
      <c r="R313" s="32" t="s">
        <v>669</v>
      </c>
      <c r="S313" s="32">
        <v>3353</v>
      </c>
      <c r="T313" s="32" t="s">
        <v>300</v>
      </c>
      <c r="U313" s="32">
        <f t="shared" si="16"/>
        <v>0.69854166666666662</v>
      </c>
      <c r="V313" s="32" t="s">
        <v>316</v>
      </c>
      <c r="X313" s="32">
        <f t="shared" si="17"/>
        <v>0.69854166666666662</v>
      </c>
      <c r="Y313" s="32">
        <f>(CPI!$B$112/O313)*X313</f>
        <v>0.88676332248469136</v>
      </c>
      <c r="Z313" s="38" t="s">
        <v>262</v>
      </c>
      <c r="AA313" s="35" t="s">
        <v>1446</v>
      </c>
      <c r="AB313" s="32">
        <v>4800</v>
      </c>
      <c r="AC313" s="32" t="s">
        <v>2315</v>
      </c>
      <c r="AH313" s="32" t="s">
        <v>411</v>
      </c>
      <c r="AJ313" s="35" t="s">
        <v>2310</v>
      </c>
      <c r="AK313" s="40" t="s">
        <v>723</v>
      </c>
      <c r="AL313" s="32">
        <v>2018</v>
      </c>
      <c r="AM313" s="32" t="s">
        <v>724</v>
      </c>
      <c r="AN313" s="32" t="s">
        <v>725</v>
      </c>
      <c r="AO313" s="38" t="s">
        <v>726</v>
      </c>
      <c r="AP313" s="35" t="s">
        <v>396</v>
      </c>
    </row>
    <row r="314" spans="1:42" x14ac:dyDescent="0.2">
      <c r="A314" s="40">
        <v>38</v>
      </c>
      <c r="B314" s="40">
        <v>313</v>
      </c>
      <c r="C314" s="40" t="s">
        <v>114</v>
      </c>
      <c r="D314" s="38" t="s">
        <v>218</v>
      </c>
      <c r="E314" s="32" t="s">
        <v>2183</v>
      </c>
      <c r="F314" s="32" t="s">
        <v>126</v>
      </c>
      <c r="G314" s="54" t="s">
        <v>2909</v>
      </c>
      <c r="H314" s="32" t="s">
        <v>151</v>
      </c>
      <c r="I314" s="32" t="s">
        <v>243</v>
      </c>
      <c r="J314" s="32" t="s">
        <v>645</v>
      </c>
      <c r="K314" s="32" t="s">
        <v>129</v>
      </c>
      <c r="L314" s="32" t="s">
        <v>30</v>
      </c>
      <c r="M314" s="32" t="s">
        <v>30</v>
      </c>
      <c r="N314" s="40">
        <v>2016</v>
      </c>
      <c r="O314" s="32">
        <f>VLOOKUP(Data!N349, CPI!$A$2:$B$112, 2, 0)</f>
        <v>240.00700000000001</v>
      </c>
      <c r="P314" s="32" t="s">
        <v>238</v>
      </c>
      <c r="Q314" s="32" t="s">
        <v>239</v>
      </c>
      <c r="R314" s="32" t="s">
        <v>670</v>
      </c>
      <c r="S314" s="32">
        <v>3755</v>
      </c>
      <c r="T314" s="32" t="s">
        <v>300</v>
      </c>
      <c r="U314" s="32">
        <f t="shared" si="16"/>
        <v>9.9867021276595747E-2</v>
      </c>
      <c r="V314" s="32" t="s">
        <v>316</v>
      </c>
      <c r="X314" s="32">
        <f t="shared" si="17"/>
        <v>9.9867021276595747E-2</v>
      </c>
      <c r="Y314" s="32">
        <f>(CPI!$B$112/O314)*X314</f>
        <v>0.12677613350749789</v>
      </c>
      <c r="Z314" s="38" t="s">
        <v>262</v>
      </c>
      <c r="AA314" s="35" t="s">
        <v>1446</v>
      </c>
      <c r="AB314" s="32">
        <v>37600</v>
      </c>
      <c r="AC314" s="32" t="s">
        <v>2315</v>
      </c>
      <c r="AH314" s="32" t="s">
        <v>411</v>
      </c>
      <c r="AJ314" s="35" t="s">
        <v>2310</v>
      </c>
      <c r="AK314" s="40" t="s">
        <v>723</v>
      </c>
      <c r="AL314" s="32">
        <v>2018</v>
      </c>
      <c r="AM314" s="32" t="s">
        <v>724</v>
      </c>
      <c r="AN314" s="32" t="s">
        <v>725</v>
      </c>
      <c r="AO314" s="38" t="s">
        <v>726</v>
      </c>
      <c r="AP314" s="35" t="s">
        <v>396</v>
      </c>
    </row>
    <row r="315" spans="1:42" x14ac:dyDescent="0.2">
      <c r="A315" s="40">
        <v>38</v>
      </c>
      <c r="B315" s="40">
        <v>314</v>
      </c>
      <c r="C315" s="40" t="s">
        <v>114</v>
      </c>
      <c r="D315" s="38" t="s">
        <v>218</v>
      </c>
      <c r="E315" s="32" t="s">
        <v>2183</v>
      </c>
      <c r="F315" s="32" t="s">
        <v>237</v>
      </c>
      <c r="G315" s="38" t="s">
        <v>117</v>
      </c>
      <c r="H315" s="32" t="s">
        <v>151</v>
      </c>
      <c r="I315" s="32" t="s">
        <v>243</v>
      </c>
      <c r="J315" s="32" t="s">
        <v>645</v>
      </c>
      <c r="K315" s="32" t="s">
        <v>129</v>
      </c>
      <c r="L315" s="32" t="s">
        <v>30</v>
      </c>
      <c r="M315" s="32" t="s">
        <v>30</v>
      </c>
      <c r="N315" s="40">
        <v>2016</v>
      </c>
      <c r="O315" s="32">
        <f>VLOOKUP(Data!N350, CPI!$A$2:$B$112, 2, 0)</f>
        <v>240.00700000000001</v>
      </c>
      <c r="P315" s="32" t="s">
        <v>238</v>
      </c>
      <c r="Q315" s="32" t="s">
        <v>239</v>
      </c>
      <c r="R315" s="32" t="s">
        <v>671</v>
      </c>
      <c r="S315" s="58">
        <v>148773</v>
      </c>
      <c r="T315" s="32" t="s">
        <v>300</v>
      </c>
      <c r="U315" s="32">
        <f t="shared" si="16"/>
        <v>12.194508196721312</v>
      </c>
      <c r="V315" s="32" t="s">
        <v>316</v>
      </c>
      <c r="X315" s="32">
        <f t="shared" si="17"/>
        <v>12.194508196721312</v>
      </c>
      <c r="Y315" s="32">
        <f>(CPI!$B$112/O315)*X315</f>
        <v>15.480311512686756</v>
      </c>
      <c r="Z315" s="38" t="s">
        <v>262</v>
      </c>
      <c r="AA315" s="35" t="s">
        <v>1446</v>
      </c>
      <c r="AB315" s="32">
        <v>12200</v>
      </c>
      <c r="AC315" s="32" t="s">
        <v>2315</v>
      </c>
      <c r="AH315" s="32" t="s">
        <v>411</v>
      </c>
      <c r="AJ315" s="35" t="s">
        <v>2310</v>
      </c>
      <c r="AK315" s="40" t="s">
        <v>723</v>
      </c>
      <c r="AL315" s="32">
        <v>2018</v>
      </c>
      <c r="AM315" s="32" t="s">
        <v>724</v>
      </c>
      <c r="AN315" s="32" t="s">
        <v>725</v>
      </c>
      <c r="AO315" s="38" t="s">
        <v>726</v>
      </c>
      <c r="AP315" s="35" t="s">
        <v>396</v>
      </c>
    </row>
    <row r="316" spans="1:42" x14ac:dyDescent="0.2">
      <c r="A316" s="40">
        <v>38</v>
      </c>
      <c r="B316" s="40">
        <v>315</v>
      </c>
      <c r="C316" s="40" t="s">
        <v>114</v>
      </c>
      <c r="D316" s="38" t="s">
        <v>218</v>
      </c>
      <c r="E316" s="32" t="s">
        <v>2183</v>
      </c>
      <c r="F316" s="32" t="s">
        <v>237</v>
      </c>
      <c r="G316" s="38" t="s">
        <v>117</v>
      </c>
      <c r="H316" s="32" t="s">
        <v>151</v>
      </c>
      <c r="I316" s="32" t="s">
        <v>243</v>
      </c>
      <c r="J316" s="32" t="s">
        <v>645</v>
      </c>
      <c r="K316" s="32" t="s">
        <v>129</v>
      </c>
      <c r="L316" s="32" t="s">
        <v>30</v>
      </c>
      <c r="M316" s="32" t="s">
        <v>30</v>
      </c>
      <c r="N316" s="40">
        <v>2016</v>
      </c>
      <c r="O316" s="32">
        <f>VLOOKUP(Data!N351, CPI!$A$2:$B$112, 2, 0)</f>
        <v>240.00700000000001</v>
      </c>
      <c r="P316" s="32" t="s">
        <v>238</v>
      </c>
      <c r="Q316" s="32" t="s">
        <v>239</v>
      </c>
      <c r="R316" s="32" t="s">
        <v>672</v>
      </c>
      <c r="S316" s="58">
        <v>58031</v>
      </c>
      <c r="T316" s="32" t="s">
        <v>300</v>
      </c>
      <c r="U316" s="32">
        <f t="shared" si="16"/>
        <v>12.089791666666667</v>
      </c>
      <c r="V316" s="32" t="s">
        <v>316</v>
      </c>
      <c r="X316" s="32">
        <f t="shared" si="17"/>
        <v>12.089791666666667</v>
      </c>
      <c r="Y316" s="32">
        <f>(CPI!$B$112/O316)*X316</f>
        <v>15.347379173011968</v>
      </c>
      <c r="Z316" s="38" t="s">
        <v>262</v>
      </c>
      <c r="AA316" s="35" t="s">
        <v>1446</v>
      </c>
      <c r="AB316" s="32">
        <v>4800</v>
      </c>
      <c r="AC316" s="32" t="s">
        <v>2315</v>
      </c>
      <c r="AH316" s="32" t="s">
        <v>411</v>
      </c>
      <c r="AJ316" s="35" t="s">
        <v>2310</v>
      </c>
      <c r="AK316" s="40" t="s">
        <v>723</v>
      </c>
      <c r="AL316" s="32">
        <v>2018</v>
      </c>
      <c r="AM316" s="32" t="s">
        <v>724</v>
      </c>
      <c r="AN316" s="32" t="s">
        <v>725</v>
      </c>
      <c r="AO316" s="38" t="s">
        <v>726</v>
      </c>
      <c r="AP316" s="35" t="s">
        <v>396</v>
      </c>
    </row>
    <row r="317" spans="1:42" x14ac:dyDescent="0.2">
      <c r="A317" s="40">
        <v>38</v>
      </c>
      <c r="B317" s="40">
        <v>316</v>
      </c>
      <c r="C317" s="40" t="s">
        <v>114</v>
      </c>
      <c r="D317" s="38" t="s">
        <v>218</v>
      </c>
      <c r="E317" s="32" t="s">
        <v>2183</v>
      </c>
      <c r="F317" s="32" t="s">
        <v>237</v>
      </c>
      <c r="G317" s="38" t="s">
        <v>117</v>
      </c>
      <c r="H317" s="32" t="s">
        <v>151</v>
      </c>
      <c r="I317" s="32" t="s">
        <v>243</v>
      </c>
      <c r="J317" s="32" t="s">
        <v>645</v>
      </c>
      <c r="K317" s="32" t="s">
        <v>129</v>
      </c>
      <c r="L317" s="32" t="s">
        <v>30</v>
      </c>
      <c r="M317" s="32" t="s">
        <v>30</v>
      </c>
      <c r="N317" s="40">
        <v>2016</v>
      </c>
      <c r="O317" s="32">
        <f>VLOOKUP(Data!N352, CPI!$A$2:$B$112, 2, 0)</f>
        <v>240.00700000000001</v>
      </c>
      <c r="P317" s="32" t="s">
        <v>238</v>
      </c>
      <c r="Q317" s="32" t="s">
        <v>239</v>
      </c>
      <c r="R317" s="32" t="s">
        <v>673</v>
      </c>
      <c r="S317" s="58">
        <v>58665</v>
      </c>
      <c r="T317" s="32" t="s">
        <v>300</v>
      </c>
      <c r="U317" s="32">
        <f t="shared" si="16"/>
        <v>1.5602393617021277</v>
      </c>
      <c r="V317" s="32" t="s">
        <v>316</v>
      </c>
      <c r="X317" s="32">
        <f t="shared" si="17"/>
        <v>1.5602393617021277</v>
      </c>
      <c r="Y317" s="32">
        <f>(CPI!$B$112/O317)*X317</f>
        <v>1.980644972627793</v>
      </c>
      <c r="Z317" s="38" t="s">
        <v>262</v>
      </c>
      <c r="AA317" s="35" t="s">
        <v>1446</v>
      </c>
      <c r="AB317" s="32">
        <v>37600</v>
      </c>
      <c r="AC317" s="32" t="s">
        <v>2315</v>
      </c>
      <c r="AH317" s="32" t="s">
        <v>411</v>
      </c>
      <c r="AJ317" s="35" t="s">
        <v>2310</v>
      </c>
      <c r="AK317" s="40" t="s">
        <v>723</v>
      </c>
      <c r="AL317" s="32">
        <v>2018</v>
      </c>
      <c r="AM317" s="32" t="s">
        <v>724</v>
      </c>
      <c r="AN317" s="32" t="s">
        <v>725</v>
      </c>
      <c r="AO317" s="38" t="s">
        <v>726</v>
      </c>
      <c r="AP317" s="35" t="s">
        <v>396</v>
      </c>
    </row>
    <row r="318" spans="1:42" x14ac:dyDescent="0.2">
      <c r="A318" s="40">
        <v>38</v>
      </c>
      <c r="B318" s="40">
        <v>317</v>
      </c>
      <c r="C318" s="40" t="s">
        <v>114</v>
      </c>
      <c r="D318" s="38" t="s">
        <v>218</v>
      </c>
      <c r="E318" s="32" t="s">
        <v>2183</v>
      </c>
      <c r="F318" s="32" t="s">
        <v>237</v>
      </c>
      <c r="G318" s="38" t="s">
        <v>117</v>
      </c>
      <c r="H318" s="32" t="s">
        <v>151</v>
      </c>
      <c r="I318" s="32" t="s">
        <v>243</v>
      </c>
      <c r="J318" s="32" t="s">
        <v>645</v>
      </c>
      <c r="K318" s="32" t="s">
        <v>129</v>
      </c>
      <c r="L318" s="32" t="s">
        <v>30</v>
      </c>
      <c r="M318" s="32" t="s">
        <v>30</v>
      </c>
      <c r="N318" s="40">
        <v>2016</v>
      </c>
      <c r="O318" s="32">
        <f>VLOOKUP(Data!N353, CPI!$A$2:$B$112, 2, 0)</f>
        <v>240.00700000000001</v>
      </c>
      <c r="P318" s="32" t="s">
        <v>238</v>
      </c>
      <c r="Q318" s="32" t="s">
        <v>239</v>
      </c>
      <c r="R318" s="32" t="s">
        <v>674</v>
      </c>
      <c r="S318" s="58">
        <v>394867</v>
      </c>
      <c r="T318" s="32" t="s">
        <v>300</v>
      </c>
      <c r="U318" s="32">
        <f t="shared" si="16"/>
        <v>32.366147540983604</v>
      </c>
      <c r="V318" s="32" t="s">
        <v>316</v>
      </c>
      <c r="X318" s="32">
        <f t="shared" si="17"/>
        <v>32.366147540983604</v>
      </c>
      <c r="Y318" s="32">
        <f>(CPI!$B$112/O318)*X318</f>
        <v>41.087187635391366</v>
      </c>
      <c r="Z318" s="38" t="s">
        <v>262</v>
      </c>
      <c r="AA318" s="35" t="s">
        <v>1446</v>
      </c>
      <c r="AB318" s="32">
        <v>12200</v>
      </c>
      <c r="AC318" s="32" t="s">
        <v>2315</v>
      </c>
      <c r="AH318" s="32" t="s">
        <v>411</v>
      </c>
      <c r="AJ318" s="35" t="s">
        <v>2310</v>
      </c>
      <c r="AK318" s="40" t="s">
        <v>723</v>
      </c>
      <c r="AL318" s="32">
        <v>2018</v>
      </c>
      <c r="AM318" s="32" t="s">
        <v>724</v>
      </c>
      <c r="AN318" s="32" t="s">
        <v>725</v>
      </c>
      <c r="AO318" s="38" t="s">
        <v>726</v>
      </c>
      <c r="AP318" s="35" t="s">
        <v>396</v>
      </c>
    </row>
    <row r="319" spans="1:42" x14ac:dyDescent="0.2">
      <c r="A319" s="40">
        <v>38</v>
      </c>
      <c r="B319" s="40">
        <v>318</v>
      </c>
      <c r="C319" s="40" t="s">
        <v>114</v>
      </c>
      <c r="D319" s="38" t="s">
        <v>218</v>
      </c>
      <c r="E319" s="32" t="s">
        <v>2183</v>
      </c>
      <c r="F319" s="32" t="s">
        <v>237</v>
      </c>
      <c r="G319" s="38" t="s">
        <v>117</v>
      </c>
      <c r="H319" s="32" t="s">
        <v>151</v>
      </c>
      <c r="I319" s="32" t="s">
        <v>243</v>
      </c>
      <c r="J319" s="32" t="s">
        <v>645</v>
      </c>
      <c r="K319" s="32" t="s">
        <v>129</v>
      </c>
      <c r="L319" s="32" t="s">
        <v>30</v>
      </c>
      <c r="M319" s="32" t="s">
        <v>30</v>
      </c>
      <c r="N319" s="40">
        <v>2016</v>
      </c>
      <c r="O319" s="32">
        <f>VLOOKUP(Data!N354, CPI!$A$2:$B$112, 2, 0)</f>
        <v>240.00700000000001</v>
      </c>
      <c r="P319" s="32" t="s">
        <v>238</v>
      </c>
      <c r="Q319" s="32" t="s">
        <v>239</v>
      </c>
      <c r="R319" s="32" t="s">
        <v>675</v>
      </c>
      <c r="S319" s="58">
        <v>154025</v>
      </c>
      <c r="T319" s="32" t="s">
        <v>300</v>
      </c>
      <c r="U319" s="32">
        <f t="shared" si="16"/>
        <v>32.088541666666664</v>
      </c>
      <c r="V319" s="32" t="s">
        <v>316</v>
      </c>
      <c r="X319" s="32">
        <f t="shared" si="17"/>
        <v>32.088541666666664</v>
      </c>
      <c r="Y319" s="32">
        <f>(CPI!$B$112/O319)*X319</f>
        <v>40.734781015718639</v>
      </c>
      <c r="Z319" s="38" t="s">
        <v>262</v>
      </c>
      <c r="AA319" s="35" t="s">
        <v>1446</v>
      </c>
      <c r="AB319" s="32">
        <v>4800</v>
      </c>
      <c r="AC319" s="32" t="s">
        <v>2315</v>
      </c>
      <c r="AH319" s="32" t="s">
        <v>411</v>
      </c>
      <c r="AJ319" s="35" t="s">
        <v>2310</v>
      </c>
      <c r="AK319" s="40" t="s">
        <v>723</v>
      </c>
      <c r="AL319" s="32">
        <v>2018</v>
      </c>
      <c r="AM319" s="32" t="s">
        <v>724</v>
      </c>
      <c r="AN319" s="32" t="s">
        <v>725</v>
      </c>
      <c r="AO319" s="38" t="s">
        <v>726</v>
      </c>
      <c r="AP319" s="35" t="s">
        <v>396</v>
      </c>
    </row>
    <row r="320" spans="1:42" x14ac:dyDescent="0.2">
      <c r="A320" s="40">
        <v>38</v>
      </c>
      <c r="B320" s="40">
        <v>319</v>
      </c>
      <c r="C320" s="40" t="s">
        <v>114</v>
      </c>
      <c r="D320" s="38" t="s">
        <v>218</v>
      </c>
      <c r="E320" s="32" t="s">
        <v>2183</v>
      </c>
      <c r="F320" s="32" t="s">
        <v>237</v>
      </c>
      <c r="G320" s="38" t="s">
        <v>117</v>
      </c>
      <c r="H320" s="32" t="s">
        <v>151</v>
      </c>
      <c r="I320" s="32" t="s">
        <v>243</v>
      </c>
      <c r="J320" s="32" t="s">
        <v>645</v>
      </c>
      <c r="K320" s="32" t="s">
        <v>129</v>
      </c>
      <c r="L320" s="32" t="s">
        <v>30</v>
      </c>
      <c r="M320" s="32" t="s">
        <v>30</v>
      </c>
      <c r="N320" s="40">
        <v>2016</v>
      </c>
      <c r="O320" s="32">
        <f>VLOOKUP(Data!N355, CPI!$A$2:$B$112, 2, 0)</f>
        <v>240.00700000000001</v>
      </c>
      <c r="P320" s="32" t="s">
        <v>238</v>
      </c>
      <c r="Q320" s="32" t="s">
        <v>239</v>
      </c>
      <c r="R320" s="32" t="s">
        <v>676</v>
      </c>
      <c r="S320" s="58">
        <v>415791</v>
      </c>
      <c r="T320" s="32" t="s">
        <v>300</v>
      </c>
      <c r="U320" s="32">
        <f t="shared" si="16"/>
        <v>11.058271276595745</v>
      </c>
      <c r="V320" s="32" t="s">
        <v>316</v>
      </c>
      <c r="X320" s="32">
        <f t="shared" si="17"/>
        <v>11.058271276595745</v>
      </c>
      <c r="Y320" s="32">
        <f>(CPI!$B$112/O320)*X320</f>
        <v>14.03791619899229</v>
      </c>
      <c r="Z320" s="38" t="s">
        <v>262</v>
      </c>
      <c r="AA320" s="35" t="s">
        <v>1446</v>
      </c>
      <c r="AB320" s="32">
        <v>37600</v>
      </c>
      <c r="AC320" s="32" t="s">
        <v>2315</v>
      </c>
      <c r="AH320" s="32" t="s">
        <v>411</v>
      </c>
      <c r="AJ320" s="35" t="s">
        <v>2310</v>
      </c>
      <c r="AK320" s="40" t="s">
        <v>723</v>
      </c>
      <c r="AL320" s="32">
        <v>2018</v>
      </c>
      <c r="AM320" s="32" t="s">
        <v>724</v>
      </c>
      <c r="AN320" s="32" t="s">
        <v>725</v>
      </c>
      <c r="AO320" s="38" t="s">
        <v>726</v>
      </c>
      <c r="AP320" s="35" t="s">
        <v>396</v>
      </c>
    </row>
    <row r="321" spans="1:42" x14ac:dyDescent="0.2">
      <c r="A321" s="40">
        <v>38</v>
      </c>
      <c r="B321" s="40">
        <v>320</v>
      </c>
      <c r="C321" s="40" t="s">
        <v>114</v>
      </c>
      <c r="D321" s="38" t="s">
        <v>218</v>
      </c>
      <c r="E321" s="32" t="s">
        <v>2183</v>
      </c>
      <c r="F321" s="32" t="s">
        <v>126</v>
      </c>
      <c r="G321" s="38" t="s">
        <v>152</v>
      </c>
      <c r="H321" s="32" t="s">
        <v>151</v>
      </c>
      <c r="I321" s="32" t="s">
        <v>243</v>
      </c>
      <c r="J321" s="32" t="s">
        <v>645</v>
      </c>
      <c r="K321" s="32" t="s">
        <v>129</v>
      </c>
      <c r="L321" s="32" t="s">
        <v>30</v>
      </c>
      <c r="M321" s="32" t="s">
        <v>30</v>
      </c>
      <c r="N321" s="40">
        <v>2016</v>
      </c>
      <c r="O321" s="32">
        <f>VLOOKUP(Data!N356, CPI!$A$2:$B$112, 2, 0)</f>
        <v>240.00700000000001</v>
      </c>
      <c r="P321" s="32" t="s">
        <v>238</v>
      </c>
      <c r="Q321" s="32" t="s">
        <v>239</v>
      </c>
      <c r="R321" s="32" t="s">
        <v>677</v>
      </c>
      <c r="S321" s="58">
        <v>74257</v>
      </c>
      <c r="T321" s="32" t="s">
        <v>300</v>
      </c>
      <c r="U321" s="32">
        <f t="shared" si="16"/>
        <v>6.086639344262295</v>
      </c>
      <c r="V321" s="32" t="s">
        <v>316</v>
      </c>
      <c r="X321" s="32">
        <f t="shared" si="17"/>
        <v>6.086639344262295</v>
      </c>
      <c r="Y321" s="32">
        <f>(CPI!$B$112/O321)*X321</f>
        <v>7.7266808627746988</v>
      </c>
      <c r="Z321" s="38" t="s">
        <v>262</v>
      </c>
      <c r="AA321" s="35" t="s">
        <v>1446</v>
      </c>
      <c r="AB321" s="32">
        <v>12200</v>
      </c>
      <c r="AC321" s="32" t="s">
        <v>2315</v>
      </c>
      <c r="AH321" s="32" t="s">
        <v>411</v>
      </c>
      <c r="AJ321" s="35" t="s">
        <v>2310</v>
      </c>
      <c r="AK321" s="40" t="s">
        <v>723</v>
      </c>
      <c r="AL321" s="32">
        <v>2018</v>
      </c>
      <c r="AM321" s="32" t="s">
        <v>724</v>
      </c>
      <c r="AN321" s="32" t="s">
        <v>725</v>
      </c>
      <c r="AO321" s="38" t="s">
        <v>726</v>
      </c>
      <c r="AP321" s="35" t="s">
        <v>396</v>
      </c>
    </row>
    <row r="322" spans="1:42" x14ac:dyDescent="0.2">
      <c r="A322" s="40">
        <v>38</v>
      </c>
      <c r="B322" s="40">
        <v>321</v>
      </c>
      <c r="C322" s="40" t="s">
        <v>114</v>
      </c>
      <c r="D322" s="38" t="s">
        <v>218</v>
      </c>
      <c r="E322" s="32" t="s">
        <v>2183</v>
      </c>
      <c r="F322" s="32" t="s">
        <v>126</v>
      </c>
      <c r="G322" s="38" t="s">
        <v>152</v>
      </c>
      <c r="H322" s="32" t="s">
        <v>151</v>
      </c>
      <c r="I322" s="32" t="s">
        <v>243</v>
      </c>
      <c r="J322" s="32" t="s">
        <v>645</v>
      </c>
      <c r="K322" s="32" t="s">
        <v>129</v>
      </c>
      <c r="L322" s="32" t="s">
        <v>30</v>
      </c>
      <c r="M322" s="32" t="s">
        <v>30</v>
      </c>
      <c r="N322" s="40">
        <v>2016</v>
      </c>
      <c r="O322" s="32">
        <f>VLOOKUP(Data!N357, CPI!$A$2:$B$112, 2, 0)</f>
        <v>240.00700000000001</v>
      </c>
      <c r="P322" s="32" t="s">
        <v>238</v>
      </c>
      <c r="Q322" s="32" t="s">
        <v>239</v>
      </c>
      <c r="R322" s="32" t="s">
        <v>678</v>
      </c>
      <c r="S322" s="32">
        <v>6188</v>
      </c>
      <c r="T322" s="32" t="s">
        <v>300</v>
      </c>
      <c r="U322" s="32">
        <f t="shared" si="16"/>
        <v>0.1645744680851064</v>
      </c>
      <c r="V322" s="32" t="s">
        <v>316</v>
      </c>
      <c r="X322" s="32">
        <f t="shared" si="17"/>
        <v>0.1645744680851064</v>
      </c>
      <c r="Y322" s="32">
        <f>(CPI!$B$112/O322)*X322</f>
        <v>0.20891896515163699</v>
      </c>
      <c r="Z322" s="38" t="s">
        <v>262</v>
      </c>
      <c r="AA322" s="35" t="s">
        <v>1446</v>
      </c>
      <c r="AB322" s="32">
        <v>37600</v>
      </c>
      <c r="AC322" s="32" t="s">
        <v>2315</v>
      </c>
      <c r="AH322" s="32" t="s">
        <v>411</v>
      </c>
      <c r="AJ322" s="35" t="s">
        <v>2310</v>
      </c>
      <c r="AK322" s="40" t="s">
        <v>723</v>
      </c>
      <c r="AL322" s="32">
        <v>2018</v>
      </c>
      <c r="AM322" s="32" t="s">
        <v>724</v>
      </c>
      <c r="AN322" s="32" t="s">
        <v>725</v>
      </c>
      <c r="AO322" s="38" t="s">
        <v>726</v>
      </c>
      <c r="AP322" s="35" t="s">
        <v>396</v>
      </c>
    </row>
    <row r="323" spans="1:42" x14ac:dyDescent="0.2">
      <c r="A323" s="40">
        <v>38</v>
      </c>
      <c r="B323" s="40">
        <v>322</v>
      </c>
      <c r="C323" s="40" t="s">
        <v>114</v>
      </c>
      <c r="D323" s="38" t="s">
        <v>218</v>
      </c>
      <c r="E323" s="32" t="s">
        <v>2183</v>
      </c>
      <c r="F323" s="32" t="s">
        <v>126</v>
      </c>
      <c r="G323" s="38" t="s">
        <v>153</v>
      </c>
      <c r="H323" s="32" t="s">
        <v>151</v>
      </c>
      <c r="I323" s="32" t="s">
        <v>243</v>
      </c>
      <c r="J323" s="32" t="s">
        <v>645</v>
      </c>
      <c r="K323" s="32" t="s">
        <v>129</v>
      </c>
      <c r="L323" s="32" t="s">
        <v>30</v>
      </c>
      <c r="M323" s="32" t="s">
        <v>30</v>
      </c>
      <c r="N323" s="40">
        <v>2016</v>
      </c>
      <c r="O323" s="32">
        <f>VLOOKUP(Data!N358, CPI!$A$2:$B$112, 2, 0)</f>
        <v>240.00700000000001</v>
      </c>
      <c r="P323" s="32" t="s">
        <v>238</v>
      </c>
      <c r="Q323" s="32" t="s">
        <v>239</v>
      </c>
      <c r="R323" s="32" t="s">
        <v>679</v>
      </c>
      <c r="S323" s="58">
        <v>378097</v>
      </c>
      <c r="T323" s="32" t="s">
        <v>300</v>
      </c>
      <c r="U323" s="32">
        <f t="shared" si="16"/>
        <v>0.42965568181818181</v>
      </c>
      <c r="V323" s="32" t="s">
        <v>316</v>
      </c>
      <c r="X323" s="32">
        <f t="shared" si="17"/>
        <v>0.42965568181818181</v>
      </c>
      <c r="Y323" s="32">
        <f>(CPI!$B$112/O323)*X323</f>
        <v>0.5454261615511119</v>
      </c>
      <c r="Z323" s="38" t="s">
        <v>262</v>
      </c>
      <c r="AA323" s="35" t="s">
        <v>1446</v>
      </c>
      <c r="AB323" s="32">
        <v>880000</v>
      </c>
      <c r="AC323" s="32" t="s">
        <v>2315</v>
      </c>
      <c r="AH323" s="32" t="s">
        <v>411</v>
      </c>
      <c r="AJ323" s="35" t="s">
        <v>2310</v>
      </c>
      <c r="AK323" s="40" t="s">
        <v>723</v>
      </c>
      <c r="AL323" s="32">
        <v>2018</v>
      </c>
      <c r="AM323" s="32" t="s">
        <v>724</v>
      </c>
      <c r="AN323" s="32" t="s">
        <v>725</v>
      </c>
      <c r="AO323" s="38" t="s">
        <v>726</v>
      </c>
      <c r="AP323" s="35" t="s">
        <v>396</v>
      </c>
    </row>
    <row r="324" spans="1:42" x14ac:dyDescent="0.2">
      <c r="A324" s="40">
        <v>38</v>
      </c>
      <c r="B324" s="40">
        <v>323</v>
      </c>
      <c r="C324" s="40" t="s">
        <v>114</v>
      </c>
      <c r="D324" s="38" t="s">
        <v>218</v>
      </c>
      <c r="E324" s="32" t="s">
        <v>2183</v>
      </c>
      <c r="F324" s="32" t="s">
        <v>126</v>
      </c>
      <c r="G324" s="54" t="s">
        <v>2909</v>
      </c>
      <c r="H324" s="32" t="s">
        <v>151</v>
      </c>
      <c r="I324" s="32" t="s">
        <v>243</v>
      </c>
      <c r="J324" s="32" t="s">
        <v>645</v>
      </c>
      <c r="K324" s="32" t="s">
        <v>129</v>
      </c>
      <c r="L324" s="32" t="s">
        <v>30</v>
      </c>
      <c r="M324" s="32" t="s">
        <v>30</v>
      </c>
      <c r="N324" s="40">
        <v>2016</v>
      </c>
      <c r="O324" s="32">
        <f>VLOOKUP(Data!N359, CPI!$A$2:$B$112, 2, 0)</f>
        <v>240.00700000000001</v>
      </c>
      <c r="P324" s="32" t="s">
        <v>238</v>
      </c>
      <c r="Q324" s="32" t="s">
        <v>239</v>
      </c>
      <c r="R324" s="32" t="s">
        <v>680</v>
      </c>
      <c r="S324" s="58">
        <v>684176</v>
      </c>
      <c r="T324" s="32" t="s">
        <v>300</v>
      </c>
      <c r="U324" s="32">
        <f t="shared" si="16"/>
        <v>0.77747272727272732</v>
      </c>
      <c r="V324" s="32" t="s">
        <v>316</v>
      </c>
      <c r="X324" s="32">
        <f t="shared" si="17"/>
        <v>0.77747272727272732</v>
      </c>
      <c r="Y324" s="32">
        <f>(CPI!$B$112/O324)*X324</f>
        <v>0.9869623125954281</v>
      </c>
      <c r="Z324" s="38" t="s">
        <v>262</v>
      </c>
      <c r="AA324" s="35" t="s">
        <v>1446</v>
      </c>
      <c r="AB324" s="32">
        <v>880000</v>
      </c>
      <c r="AC324" s="32" t="s">
        <v>2315</v>
      </c>
      <c r="AH324" s="32" t="s">
        <v>411</v>
      </c>
      <c r="AJ324" s="35" t="s">
        <v>2310</v>
      </c>
      <c r="AK324" s="40" t="s">
        <v>723</v>
      </c>
      <c r="AL324" s="32">
        <v>2018</v>
      </c>
      <c r="AM324" s="32" t="s">
        <v>724</v>
      </c>
      <c r="AN324" s="32" t="s">
        <v>725</v>
      </c>
      <c r="AO324" s="38" t="s">
        <v>726</v>
      </c>
      <c r="AP324" s="35" t="s">
        <v>396</v>
      </c>
    </row>
    <row r="325" spans="1:42" x14ac:dyDescent="0.2">
      <c r="A325" s="40">
        <v>38</v>
      </c>
      <c r="B325" s="40">
        <v>324</v>
      </c>
      <c r="C325" s="40" t="s">
        <v>114</v>
      </c>
      <c r="D325" s="38" t="s">
        <v>218</v>
      </c>
      <c r="E325" s="32" t="s">
        <v>2183</v>
      </c>
      <c r="F325" s="32" t="s">
        <v>126</v>
      </c>
      <c r="G325" s="38" t="s">
        <v>153</v>
      </c>
      <c r="H325" s="32" t="s">
        <v>151</v>
      </c>
      <c r="I325" s="32" t="s">
        <v>243</v>
      </c>
      <c r="J325" s="32" t="s">
        <v>645</v>
      </c>
      <c r="K325" s="32" t="s">
        <v>129</v>
      </c>
      <c r="L325" s="32" t="s">
        <v>30</v>
      </c>
      <c r="M325" s="32" t="s">
        <v>30</v>
      </c>
      <c r="N325" s="40">
        <v>2016</v>
      </c>
      <c r="O325" s="32">
        <f>VLOOKUP(Data!N360, CPI!$A$2:$B$112, 2, 0)</f>
        <v>240.00700000000001</v>
      </c>
      <c r="P325" s="32" t="s">
        <v>238</v>
      </c>
      <c r="Q325" s="32" t="s">
        <v>239</v>
      </c>
      <c r="R325" s="32" t="s">
        <v>686</v>
      </c>
      <c r="S325" s="58">
        <v>196058</v>
      </c>
      <c r="T325" s="32" t="s">
        <v>300</v>
      </c>
      <c r="U325" s="32">
        <f t="shared" si="16"/>
        <v>0.22279318181818181</v>
      </c>
      <c r="V325" s="32" t="s">
        <v>316</v>
      </c>
      <c r="X325" s="32">
        <f t="shared" si="17"/>
        <v>0.22279318181818181</v>
      </c>
      <c r="Y325" s="32">
        <f>(CPI!$B$112/O325)*X325</f>
        <v>0.28282467827406171</v>
      </c>
      <c r="Z325" s="38" t="s">
        <v>262</v>
      </c>
      <c r="AA325" s="35" t="s">
        <v>1446</v>
      </c>
      <c r="AB325" s="32">
        <v>880000</v>
      </c>
      <c r="AC325" s="32" t="s">
        <v>2315</v>
      </c>
      <c r="AH325" s="32" t="s">
        <v>411</v>
      </c>
      <c r="AJ325" s="35" t="s">
        <v>2310</v>
      </c>
      <c r="AK325" s="40" t="s">
        <v>723</v>
      </c>
      <c r="AL325" s="32">
        <v>2018</v>
      </c>
      <c r="AM325" s="32" t="s">
        <v>724</v>
      </c>
      <c r="AN325" s="32" t="s">
        <v>725</v>
      </c>
      <c r="AO325" s="38" t="s">
        <v>726</v>
      </c>
      <c r="AP325" s="35" t="s">
        <v>396</v>
      </c>
    </row>
    <row r="326" spans="1:42" x14ac:dyDescent="0.2">
      <c r="A326" s="40">
        <v>38</v>
      </c>
      <c r="B326" s="40">
        <v>325</v>
      </c>
      <c r="C326" s="40" t="s">
        <v>114</v>
      </c>
      <c r="D326" s="38" t="s">
        <v>218</v>
      </c>
      <c r="E326" s="32" t="s">
        <v>2183</v>
      </c>
      <c r="F326" s="32" t="s">
        <v>126</v>
      </c>
      <c r="G326" s="38" t="s">
        <v>60</v>
      </c>
      <c r="H326" s="32" t="s">
        <v>151</v>
      </c>
      <c r="I326" s="32" t="s">
        <v>243</v>
      </c>
      <c r="J326" s="32" t="s">
        <v>645</v>
      </c>
      <c r="K326" s="32" t="s">
        <v>129</v>
      </c>
      <c r="L326" s="32" t="s">
        <v>30</v>
      </c>
      <c r="M326" s="32" t="s">
        <v>30</v>
      </c>
      <c r="N326" s="40">
        <v>2016</v>
      </c>
      <c r="O326" s="32">
        <f>VLOOKUP(Data!N361, CPI!$A$2:$B$112, 2, 0)</f>
        <v>240.00700000000001</v>
      </c>
      <c r="P326" s="32" t="s">
        <v>238</v>
      </c>
      <c r="Q326" s="32" t="s">
        <v>239</v>
      </c>
      <c r="R326" s="32" t="s">
        <v>683</v>
      </c>
      <c r="S326" s="58">
        <v>2842895</v>
      </c>
      <c r="T326" s="32" t="s">
        <v>300</v>
      </c>
      <c r="U326" s="32">
        <f t="shared" si="16"/>
        <v>3.2305625</v>
      </c>
      <c r="V326" s="32" t="s">
        <v>316</v>
      </c>
      <c r="X326" s="32">
        <f t="shared" si="17"/>
        <v>3.2305625</v>
      </c>
      <c r="Y326" s="32">
        <f>(CPI!$B$112/O326)*X326</f>
        <v>4.1010357330072669</v>
      </c>
      <c r="Z326" s="38" t="s">
        <v>262</v>
      </c>
      <c r="AA326" s="35" t="s">
        <v>1446</v>
      </c>
      <c r="AB326" s="32">
        <v>880000</v>
      </c>
      <c r="AC326" s="32" t="s">
        <v>2315</v>
      </c>
      <c r="AH326" s="32" t="s">
        <v>411</v>
      </c>
      <c r="AJ326" s="35" t="s">
        <v>2310</v>
      </c>
      <c r="AK326" s="40" t="s">
        <v>723</v>
      </c>
      <c r="AL326" s="32">
        <v>2018</v>
      </c>
      <c r="AM326" s="32" t="s">
        <v>724</v>
      </c>
      <c r="AN326" s="32" t="s">
        <v>725</v>
      </c>
      <c r="AO326" s="38" t="s">
        <v>726</v>
      </c>
      <c r="AP326" s="35" t="s">
        <v>396</v>
      </c>
    </row>
    <row r="327" spans="1:42" x14ac:dyDescent="0.2">
      <c r="A327" s="40">
        <v>38</v>
      </c>
      <c r="B327" s="40">
        <v>326</v>
      </c>
      <c r="C327" s="40" t="s">
        <v>114</v>
      </c>
      <c r="D327" s="38" t="s">
        <v>218</v>
      </c>
      <c r="E327" s="32" t="s">
        <v>2183</v>
      </c>
      <c r="F327" s="32" t="s">
        <v>126</v>
      </c>
      <c r="G327" s="38" t="s">
        <v>127</v>
      </c>
      <c r="H327" s="32" t="s">
        <v>151</v>
      </c>
      <c r="I327" s="32" t="s">
        <v>243</v>
      </c>
      <c r="J327" s="32" t="s">
        <v>645</v>
      </c>
      <c r="K327" s="32" t="s">
        <v>129</v>
      </c>
      <c r="L327" s="32" t="s">
        <v>30</v>
      </c>
      <c r="M327" s="32" t="s">
        <v>30</v>
      </c>
      <c r="N327" s="40">
        <v>2016</v>
      </c>
      <c r="O327" s="32">
        <f>VLOOKUP(Data!N362, CPI!$A$2:$B$112, 2, 0)</f>
        <v>240.00700000000001</v>
      </c>
      <c r="P327" s="32" t="s">
        <v>238</v>
      </c>
      <c r="Q327" s="32" t="s">
        <v>239</v>
      </c>
      <c r="R327" s="32" t="s">
        <v>684</v>
      </c>
      <c r="S327" s="58">
        <v>15703</v>
      </c>
      <c r="T327" s="32" t="s">
        <v>300</v>
      </c>
      <c r="U327" s="32">
        <f t="shared" si="16"/>
        <v>1.7844318181818183E-2</v>
      </c>
      <c r="V327" s="32" t="s">
        <v>316</v>
      </c>
      <c r="X327" s="32">
        <f t="shared" si="17"/>
        <v>1.7844318181818183E-2</v>
      </c>
      <c r="Y327" s="32">
        <f>(CPI!$B$112/O327)*X327</f>
        <v>2.2652459593271335E-2</v>
      </c>
      <c r="Z327" s="38" t="s">
        <v>262</v>
      </c>
      <c r="AA327" s="35" t="s">
        <v>1446</v>
      </c>
      <c r="AB327" s="32">
        <v>880000</v>
      </c>
      <c r="AC327" s="32" t="s">
        <v>2315</v>
      </c>
      <c r="AH327" s="32" t="s">
        <v>411</v>
      </c>
      <c r="AJ327" s="35" t="s">
        <v>2310</v>
      </c>
      <c r="AK327" s="40" t="s">
        <v>723</v>
      </c>
      <c r="AL327" s="32">
        <v>2018</v>
      </c>
      <c r="AM327" s="32" t="s">
        <v>724</v>
      </c>
      <c r="AN327" s="32" t="s">
        <v>725</v>
      </c>
      <c r="AO327" s="38" t="s">
        <v>726</v>
      </c>
      <c r="AP327" s="35" t="s">
        <v>396</v>
      </c>
    </row>
    <row r="328" spans="1:42" x14ac:dyDescent="0.2">
      <c r="A328" s="40">
        <v>38</v>
      </c>
      <c r="B328" s="40">
        <v>327</v>
      </c>
      <c r="C328" s="40" t="s">
        <v>114</v>
      </c>
      <c r="D328" s="38" t="s">
        <v>218</v>
      </c>
      <c r="E328" s="32" t="s">
        <v>2183</v>
      </c>
      <c r="F328" s="32" t="s">
        <v>237</v>
      </c>
      <c r="G328" s="38" t="s">
        <v>117</v>
      </c>
      <c r="H328" s="32" t="s">
        <v>151</v>
      </c>
      <c r="I328" s="32" t="s">
        <v>243</v>
      </c>
      <c r="J328" s="32" t="s">
        <v>645</v>
      </c>
      <c r="K328" s="32" t="s">
        <v>129</v>
      </c>
      <c r="L328" s="32" t="s">
        <v>30</v>
      </c>
      <c r="M328" s="32" t="s">
        <v>30</v>
      </c>
      <c r="N328" s="40">
        <v>2016</v>
      </c>
      <c r="O328" s="32">
        <f>VLOOKUP(Data!N363, CPI!$A$2:$B$112, 2, 0)</f>
        <v>240.00700000000001</v>
      </c>
      <c r="P328" s="32" t="s">
        <v>238</v>
      </c>
      <c r="Q328" s="32" t="s">
        <v>239</v>
      </c>
      <c r="R328" s="32" t="s">
        <v>685</v>
      </c>
      <c r="S328" s="58">
        <v>265469</v>
      </c>
      <c r="T328" s="32" t="s">
        <v>300</v>
      </c>
      <c r="U328" s="32">
        <f t="shared" si="16"/>
        <v>0.30166931818181819</v>
      </c>
      <c r="V328" s="32" t="s">
        <v>316</v>
      </c>
      <c r="X328" s="32">
        <f t="shared" si="17"/>
        <v>0.30166931818181819</v>
      </c>
      <c r="Y328" s="32">
        <f>(CPI!$B$112/O328)*X328</f>
        <v>0.3829539448364101</v>
      </c>
      <c r="Z328" s="38" t="s">
        <v>262</v>
      </c>
      <c r="AA328" s="35" t="s">
        <v>1446</v>
      </c>
      <c r="AB328" s="32">
        <v>880000</v>
      </c>
      <c r="AC328" s="32" t="s">
        <v>2315</v>
      </c>
      <c r="AH328" s="32" t="s">
        <v>411</v>
      </c>
      <c r="AJ328" s="35" t="s">
        <v>2310</v>
      </c>
      <c r="AK328" s="40" t="s">
        <v>723</v>
      </c>
      <c r="AL328" s="32">
        <v>2018</v>
      </c>
      <c r="AM328" s="32" t="s">
        <v>724</v>
      </c>
      <c r="AN328" s="32" t="s">
        <v>725</v>
      </c>
      <c r="AO328" s="38" t="s">
        <v>726</v>
      </c>
      <c r="AP328" s="35" t="s">
        <v>396</v>
      </c>
    </row>
    <row r="329" spans="1:42" x14ac:dyDescent="0.2">
      <c r="A329" s="40">
        <v>38</v>
      </c>
      <c r="B329" s="40">
        <v>328</v>
      </c>
      <c r="C329" s="40" t="s">
        <v>114</v>
      </c>
      <c r="D329" s="38" t="s">
        <v>218</v>
      </c>
      <c r="E329" s="32" t="s">
        <v>2183</v>
      </c>
      <c r="F329" s="32" t="s">
        <v>237</v>
      </c>
      <c r="G329" s="38" t="s">
        <v>117</v>
      </c>
      <c r="H329" s="32" t="s">
        <v>151</v>
      </c>
      <c r="I329" s="32" t="s">
        <v>243</v>
      </c>
      <c r="J329" s="32" t="s">
        <v>645</v>
      </c>
      <c r="K329" s="32" t="s">
        <v>129</v>
      </c>
      <c r="L329" s="32" t="s">
        <v>30</v>
      </c>
      <c r="M329" s="32" t="s">
        <v>30</v>
      </c>
      <c r="N329" s="40">
        <v>2016</v>
      </c>
      <c r="O329" s="32">
        <f>VLOOKUP(Data!N364, CPI!$A$2:$B$112, 2, 0)</f>
        <v>240.00700000000001</v>
      </c>
      <c r="P329" s="32" t="s">
        <v>238</v>
      </c>
      <c r="Q329" s="32" t="s">
        <v>239</v>
      </c>
      <c r="R329" s="32" t="s">
        <v>681</v>
      </c>
      <c r="S329" s="58">
        <v>964683</v>
      </c>
      <c r="T329" s="32" t="s">
        <v>300</v>
      </c>
      <c r="U329" s="32">
        <f t="shared" si="16"/>
        <v>1.0962306818181817</v>
      </c>
      <c r="V329" s="32" t="s">
        <v>316</v>
      </c>
      <c r="X329" s="32">
        <f t="shared" si="17"/>
        <v>1.0962306818181817</v>
      </c>
      <c r="Y329" s="32">
        <f>(CPI!$B$112/O329)*X329</f>
        <v>1.391609417169698</v>
      </c>
      <c r="Z329" s="38" t="s">
        <v>262</v>
      </c>
      <c r="AA329" s="35" t="s">
        <v>1446</v>
      </c>
      <c r="AB329" s="32">
        <v>880000</v>
      </c>
      <c r="AC329" s="32" t="s">
        <v>2315</v>
      </c>
      <c r="AH329" s="32" t="s">
        <v>411</v>
      </c>
      <c r="AJ329" s="35" t="s">
        <v>2310</v>
      </c>
      <c r="AK329" s="40" t="s">
        <v>723</v>
      </c>
      <c r="AL329" s="32">
        <v>2018</v>
      </c>
      <c r="AM329" s="32" t="s">
        <v>724</v>
      </c>
      <c r="AN329" s="32" t="s">
        <v>725</v>
      </c>
      <c r="AO329" s="38" t="s">
        <v>726</v>
      </c>
      <c r="AP329" s="35" t="s">
        <v>396</v>
      </c>
    </row>
    <row r="330" spans="1:42" x14ac:dyDescent="0.2">
      <c r="A330" s="40">
        <v>38</v>
      </c>
      <c r="B330" s="40">
        <v>329</v>
      </c>
      <c r="C330" s="40" t="s">
        <v>114</v>
      </c>
      <c r="D330" s="38" t="s">
        <v>218</v>
      </c>
      <c r="E330" s="32" t="s">
        <v>2183</v>
      </c>
      <c r="F330" s="32" t="s">
        <v>126</v>
      </c>
      <c r="G330" s="38" t="s">
        <v>152</v>
      </c>
      <c r="H330" s="32" t="s">
        <v>151</v>
      </c>
      <c r="I330" s="32" t="s">
        <v>243</v>
      </c>
      <c r="J330" s="32" t="s">
        <v>645</v>
      </c>
      <c r="K330" s="32" t="s">
        <v>129</v>
      </c>
      <c r="L330" s="32" t="s">
        <v>30</v>
      </c>
      <c r="M330" s="32" t="s">
        <v>30</v>
      </c>
      <c r="N330" s="40">
        <v>2016</v>
      </c>
      <c r="O330" s="32">
        <f>VLOOKUP(Data!N365, CPI!$A$2:$B$112, 2, 0)</f>
        <v>240.00700000000001</v>
      </c>
      <c r="P330" s="32" t="s">
        <v>238</v>
      </c>
      <c r="Q330" s="32" t="s">
        <v>239</v>
      </c>
      <c r="R330" s="32" t="s">
        <v>682</v>
      </c>
      <c r="S330" s="58">
        <v>80446</v>
      </c>
      <c r="T330" s="32" t="s">
        <v>300</v>
      </c>
      <c r="U330" s="32">
        <f t="shared" si="16"/>
        <v>9.1415909090909089E-2</v>
      </c>
      <c r="V330" s="32" t="s">
        <v>316</v>
      </c>
      <c r="X330" s="32">
        <f t="shared" si="17"/>
        <v>9.1415909090909089E-2</v>
      </c>
      <c r="Y330" s="32">
        <f>(CPI!$B$112/O330)*X330</f>
        <v>0.11604787393748364</v>
      </c>
      <c r="Z330" s="38" t="s">
        <v>262</v>
      </c>
      <c r="AA330" s="35" t="s">
        <v>1446</v>
      </c>
      <c r="AB330" s="32">
        <v>880000</v>
      </c>
      <c r="AC330" s="32" t="s">
        <v>2315</v>
      </c>
      <c r="AH330" s="32" t="s">
        <v>411</v>
      </c>
      <c r="AJ330" s="35" t="s">
        <v>2310</v>
      </c>
      <c r="AK330" s="40" t="s">
        <v>723</v>
      </c>
      <c r="AL330" s="32">
        <v>2018</v>
      </c>
      <c r="AM330" s="32" t="s">
        <v>724</v>
      </c>
      <c r="AN330" s="32" t="s">
        <v>725</v>
      </c>
      <c r="AO330" s="38" t="s">
        <v>726</v>
      </c>
      <c r="AP330" s="35" t="s">
        <v>396</v>
      </c>
    </row>
    <row r="331" spans="1:42" x14ac:dyDescent="0.2">
      <c r="A331" s="40">
        <v>38</v>
      </c>
      <c r="B331" s="40">
        <v>330</v>
      </c>
      <c r="C331" s="40" t="s">
        <v>114</v>
      </c>
      <c r="D331" s="38" t="s">
        <v>218</v>
      </c>
      <c r="E331" s="32" t="s">
        <v>2186</v>
      </c>
      <c r="F331" s="32" t="s">
        <v>29</v>
      </c>
      <c r="G331" s="38" t="s">
        <v>29</v>
      </c>
      <c r="H331" s="32" t="s">
        <v>151</v>
      </c>
      <c r="I331" s="32" t="s">
        <v>243</v>
      </c>
      <c r="J331" s="32" t="s">
        <v>645</v>
      </c>
      <c r="K331" s="32" t="s">
        <v>129</v>
      </c>
      <c r="L331" s="32" t="s">
        <v>30</v>
      </c>
      <c r="M331" s="32" t="s">
        <v>30</v>
      </c>
      <c r="N331" s="40">
        <v>2016</v>
      </c>
      <c r="O331" s="32">
        <f>VLOOKUP(Data!N366, CPI!$A$2:$B$112, 2, 0)</f>
        <v>240.00700000000001</v>
      </c>
      <c r="P331" s="32" t="s">
        <v>238</v>
      </c>
      <c r="Q331" s="32" t="s">
        <v>239</v>
      </c>
      <c r="R331" s="32" t="s">
        <v>687</v>
      </c>
      <c r="S331" s="32">
        <v>176</v>
      </c>
      <c r="T331" s="32" t="s">
        <v>316</v>
      </c>
      <c r="U331" s="32">
        <v>176</v>
      </c>
      <c r="V331" s="32" t="s">
        <v>316</v>
      </c>
      <c r="X331" s="32">
        <f t="shared" si="17"/>
        <v>176</v>
      </c>
      <c r="Y331" s="32">
        <f>(CPI!$B$112/O331)*X331</f>
        <v>223.42310015957867</v>
      </c>
      <c r="Z331" s="38" t="s">
        <v>262</v>
      </c>
      <c r="AA331" s="35" t="s">
        <v>1447</v>
      </c>
      <c r="AB331" s="32">
        <v>12200</v>
      </c>
      <c r="AC331" s="32" t="s">
        <v>2315</v>
      </c>
      <c r="AH331" s="32" t="s">
        <v>411</v>
      </c>
      <c r="AK331" s="40" t="s">
        <v>723</v>
      </c>
      <c r="AL331" s="32">
        <v>2018</v>
      </c>
      <c r="AM331" s="32" t="s">
        <v>724</v>
      </c>
      <c r="AN331" s="32" t="s">
        <v>725</v>
      </c>
      <c r="AO331" s="38" t="s">
        <v>726</v>
      </c>
      <c r="AP331" s="35" t="s">
        <v>396</v>
      </c>
    </row>
    <row r="332" spans="1:42" x14ac:dyDescent="0.2">
      <c r="A332" s="40">
        <v>38</v>
      </c>
      <c r="B332" s="40">
        <v>331</v>
      </c>
      <c r="C332" s="40" t="s">
        <v>114</v>
      </c>
      <c r="D332" s="38" t="s">
        <v>218</v>
      </c>
      <c r="E332" s="32" t="s">
        <v>2186</v>
      </c>
      <c r="F332" s="32" t="s">
        <v>29</v>
      </c>
      <c r="G332" s="38" t="s">
        <v>29</v>
      </c>
      <c r="H332" s="32" t="s">
        <v>151</v>
      </c>
      <c r="I332" s="32" t="s">
        <v>243</v>
      </c>
      <c r="J332" s="32" t="s">
        <v>645</v>
      </c>
      <c r="K332" s="32" t="s">
        <v>129</v>
      </c>
      <c r="L332" s="32" t="s">
        <v>30</v>
      </c>
      <c r="M332" s="32" t="s">
        <v>30</v>
      </c>
      <c r="N332" s="40">
        <v>2016</v>
      </c>
      <c r="O332" s="32">
        <f>VLOOKUP(Data!N367, CPI!$A$2:$B$112, 2, 0)</f>
        <v>240.00700000000001</v>
      </c>
      <c r="P332" s="32" t="s">
        <v>238</v>
      </c>
      <c r="Q332" s="32" t="s">
        <v>239</v>
      </c>
      <c r="R332" s="32" t="s">
        <v>688</v>
      </c>
      <c r="S332" s="32">
        <v>171</v>
      </c>
      <c r="T332" s="32" t="s">
        <v>316</v>
      </c>
      <c r="U332" s="32">
        <v>171</v>
      </c>
      <c r="V332" s="32" t="s">
        <v>316</v>
      </c>
      <c r="X332" s="32">
        <f t="shared" si="17"/>
        <v>171</v>
      </c>
      <c r="Y332" s="32">
        <f>(CPI!$B$112/O332)*X332</f>
        <v>217.07585299595428</v>
      </c>
      <c r="Z332" s="38" t="s">
        <v>262</v>
      </c>
      <c r="AA332" s="35" t="s">
        <v>1447</v>
      </c>
      <c r="AB332" s="32">
        <v>4800</v>
      </c>
      <c r="AC332" s="32" t="s">
        <v>2315</v>
      </c>
      <c r="AH332" s="32" t="s">
        <v>411</v>
      </c>
      <c r="AK332" s="40" t="s">
        <v>723</v>
      </c>
      <c r="AL332" s="32">
        <v>2018</v>
      </c>
      <c r="AM332" s="32" t="s">
        <v>724</v>
      </c>
      <c r="AN332" s="32" t="s">
        <v>725</v>
      </c>
      <c r="AO332" s="38" t="s">
        <v>726</v>
      </c>
      <c r="AP332" s="35" t="s">
        <v>396</v>
      </c>
    </row>
    <row r="333" spans="1:42" x14ac:dyDescent="0.2">
      <c r="A333" s="40">
        <v>38</v>
      </c>
      <c r="B333" s="40">
        <v>332</v>
      </c>
      <c r="C333" s="40" t="s">
        <v>114</v>
      </c>
      <c r="D333" s="38" t="s">
        <v>218</v>
      </c>
      <c r="E333" s="32" t="s">
        <v>2186</v>
      </c>
      <c r="F333" s="32" t="s">
        <v>29</v>
      </c>
      <c r="G333" s="38" t="s">
        <v>29</v>
      </c>
      <c r="H333" s="32" t="s">
        <v>151</v>
      </c>
      <c r="I333" s="32" t="s">
        <v>243</v>
      </c>
      <c r="J333" s="32" t="s">
        <v>645</v>
      </c>
      <c r="K333" s="32" t="s">
        <v>129</v>
      </c>
      <c r="L333" s="32" t="s">
        <v>30</v>
      </c>
      <c r="M333" s="32" t="s">
        <v>30</v>
      </c>
      <c r="N333" s="40">
        <v>2016</v>
      </c>
      <c r="O333" s="32">
        <f>VLOOKUP(Data!N368, CPI!$A$2:$B$112, 2, 0)</f>
        <v>240.00700000000001</v>
      </c>
      <c r="P333" s="32" t="s">
        <v>238</v>
      </c>
      <c r="Q333" s="32" t="s">
        <v>239</v>
      </c>
      <c r="R333" s="32" t="s">
        <v>689</v>
      </c>
      <c r="S333" s="32">
        <v>43</v>
      </c>
      <c r="T333" s="32" t="s">
        <v>316</v>
      </c>
      <c r="U333" s="32">
        <v>43</v>
      </c>
      <c r="V333" s="32" t="s">
        <v>316</v>
      </c>
      <c r="X333" s="32">
        <f t="shared" si="17"/>
        <v>43</v>
      </c>
      <c r="Y333" s="32">
        <f>(CPI!$B$112/O333)*X333</f>
        <v>54.58632560716979</v>
      </c>
      <c r="Z333" s="38" t="s">
        <v>262</v>
      </c>
      <c r="AA333" s="35" t="s">
        <v>1447</v>
      </c>
      <c r="AB333" s="32">
        <v>37600</v>
      </c>
      <c r="AC333" s="32" t="s">
        <v>2315</v>
      </c>
      <c r="AH333" s="32" t="s">
        <v>411</v>
      </c>
      <c r="AK333" s="40" t="s">
        <v>723</v>
      </c>
      <c r="AL333" s="32">
        <v>2018</v>
      </c>
      <c r="AM333" s="32" t="s">
        <v>724</v>
      </c>
      <c r="AN333" s="32" t="s">
        <v>725</v>
      </c>
      <c r="AO333" s="38" t="s">
        <v>726</v>
      </c>
      <c r="AP333" s="35" t="s">
        <v>396</v>
      </c>
    </row>
    <row r="334" spans="1:42" x14ac:dyDescent="0.2">
      <c r="A334" s="40">
        <v>38</v>
      </c>
      <c r="B334" s="40">
        <v>333</v>
      </c>
      <c r="C334" s="40" t="s">
        <v>114</v>
      </c>
      <c r="D334" s="38" t="s">
        <v>218</v>
      </c>
      <c r="E334" s="32" t="s">
        <v>2186</v>
      </c>
      <c r="F334" s="32" t="s">
        <v>21</v>
      </c>
      <c r="G334" s="38" t="s">
        <v>163</v>
      </c>
      <c r="H334" s="32" t="s">
        <v>151</v>
      </c>
      <c r="I334" s="32" t="s">
        <v>243</v>
      </c>
      <c r="J334" s="32" t="s">
        <v>645</v>
      </c>
      <c r="K334" s="32" t="s">
        <v>129</v>
      </c>
      <c r="L334" s="32" t="s">
        <v>30</v>
      </c>
      <c r="M334" s="32" t="s">
        <v>30</v>
      </c>
      <c r="N334" s="40">
        <v>2016</v>
      </c>
      <c r="O334" s="32">
        <f>VLOOKUP(Data!N369, CPI!$A$2:$B$112, 2, 0)</f>
        <v>218.05600000000001</v>
      </c>
      <c r="P334" s="32" t="s">
        <v>238</v>
      </c>
      <c r="Q334" s="32" t="s">
        <v>239</v>
      </c>
      <c r="R334" s="32" t="s">
        <v>690</v>
      </c>
      <c r="S334" s="32">
        <v>25</v>
      </c>
      <c r="T334" s="32" t="s">
        <v>316</v>
      </c>
      <c r="U334" s="32">
        <v>25</v>
      </c>
      <c r="V334" s="32" t="s">
        <v>316</v>
      </c>
      <c r="X334" s="32">
        <f t="shared" si="17"/>
        <v>25</v>
      </c>
      <c r="Y334" s="32">
        <f>(CPI!$B$112/O334)*X334</f>
        <v>34.931021159702098</v>
      </c>
      <c r="Z334" s="38" t="s">
        <v>262</v>
      </c>
      <c r="AA334" s="35" t="s">
        <v>2316</v>
      </c>
      <c r="AB334" s="32" t="s">
        <v>30</v>
      </c>
      <c r="AH334" s="32" t="s">
        <v>411</v>
      </c>
      <c r="AK334" s="40" t="s">
        <v>723</v>
      </c>
      <c r="AL334" s="32">
        <v>2018</v>
      </c>
      <c r="AM334" s="32" t="s">
        <v>724</v>
      </c>
      <c r="AN334" s="32" t="s">
        <v>725</v>
      </c>
      <c r="AO334" s="38" t="s">
        <v>726</v>
      </c>
      <c r="AP334" s="35" t="s">
        <v>396</v>
      </c>
    </row>
    <row r="335" spans="1:42" x14ac:dyDescent="0.2">
      <c r="A335" s="40">
        <v>38</v>
      </c>
      <c r="B335" s="40">
        <v>334</v>
      </c>
      <c r="C335" s="40" t="s">
        <v>114</v>
      </c>
      <c r="D335" s="38" t="s">
        <v>218</v>
      </c>
      <c r="E335" s="32" t="s">
        <v>2186</v>
      </c>
      <c r="F335" s="32" t="s">
        <v>21</v>
      </c>
      <c r="G335" s="38" t="s">
        <v>163</v>
      </c>
      <c r="H335" s="32" t="s">
        <v>151</v>
      </c>
      <c r="I335" s="32" t="s">
        <v>243</v>
      </c>
      <c r="J335" s="32" t="s">
        <v>645</v>
      </c>
      <c r="K335" s="32" t="s">
        <v>129</v>
      </c>
      <c r="L335" s="32" t="s">
        <v>30</v>
      </c>
      <c r="M335" s="32" t="s">
        <v>30</v>
      </c>
      <c r="N335" s="40">
        <v>2016</v>
      </c>
      <c r="O335" s="32">
        <f>VLOOKUP(Data!N370, CPI!$A$2:$B$112, 2, 0)</f>
        <v>218.05600000000001</v>
      </c>
      <c r="P335" s="32" t="s">
        <v>238</v>
      </c>
      <c r="Q335" s="32" t="s">
        <v>239</v>
      </c>
      <c r="R335" s="32" t="s">
        <v>691</v>
      </c>
      <c r="S335" s="32">
        <v>36</v>
      </c>
      <c r="T335" s="32" t="s">
        <v>316</v>
      </c>
      <c r="U335" s="32">
        <v>36</v>
      </c>
      <c r="V335" s="32" t="s">
        <v>316</v>
      </c>
      <c r="X335" s="32">
        <f t="shared" si="17"/>
        <v>36</v>
      </c>
      <c r="Y335" s="32">
        <f>(CPI!$B$112/O335)*X335</f>
        <v>50.300670469971017</v>
      </c>
      <c r="Z335" s="38" t="s">
        <v>262</v>
      </c>
      <c r="AA335" s="35" t="s">
        <v>2316</v>
      </c>
      <c r="AB335" s="32" t="s">
        <v>30</v>
      </c>
      <c r="AH335" s="32" t="s">
        <v>411</v>
      </c>
      <c r="AK335" s="40" t="s">
        <v>723</v>
      </c>
      <c r="AL335" s="32">
        <v>2018</v>
      </c>
      <c r="AM335" s="32" t="s">
        <v>724</v>
      </c>
      <c r="AN335" s="32" t="s">
        <v>725</v>
      </c>
      <c r="AO335" s="38" t="s">
        <v>726</v>
      </c>
      <c r="AP335" s="35" t="s">
        <v>396</v>
      </c>
    </row>
    <row r="336" spans="1:42" x14ac:dyDescent="0.2">
      <c r="A336" s="40">
        <v>38</v>
      </c>
      <c r="B336" s="40">
        <v>335</v>
      </c>
      <c r="C336" s="40" t="s">
        <v>114</v>
      </c>
      <c r="D336" s="38" t="s">
        <v>218</v>
      </c>
      <c r="E336" s="32" t="s">
        <v>2186</v>
      </c>
      <c r="F336" s="32" t="s">
        <v>21</v>
      </c>
      <c r="G336" s="38" t="s">
        <v>163</v>
      </c>
      <c r="H336" s="32" t="s">
        <v>151</v>
      </c>
      <c r="I336" s="32" t="s">
        <v>243</v>
      </c>
      <c r="J336" s="32" t="s">
        <v>645</v>
      </c>
      <c r="K336" s="32" t="s">
        <v>129</v>
      </c>
      <c r="L336" s="32" t="s">
        <v>30</v>
      </c>
      <c r="M336" s="32" t="s">
        <v>30</v>
      </c>
      <c r="N336" s="40">
        <v>2016</v>
      </c>
      <c r="O336" s="32">
        <f>VLOOKUP(Data!N371, CPI!$A$2:$B$112, 2, 0)</f>
        <v>218.05600000000001</v>
      </c>
      <c r="P336" s="32" t="s">
        <v>238</v>
      </c>
      <c r="Q336" s="32" t="s">
        <v>239</v>
      </c>
      <c r="R336" s="32" t="s">
        <v>692</v>
      </c>
      <c r="S336" s="32">
        <v>37</v>
      </c>
      <c r="T336" s="32" t="s">
        <v>316</v>
      </c>
      <c r="U336" s="32">
        <v>37</v>
      </c>
      <c r="V336" s="32" t="s">
        <v>316</v>
      </c>
      <c r="X336" s="32">
        <f t="shared" si="17"/>
        <v>37</v>
      </c>
      <c r="Y336" s="32">
        <f>(CPI!$B$112/O336)*X336</f>
        <v>51.697911316359104</v>
      </c>
      <c r="Z336" s="38" t="s">
        <v>262</v>
      </c>
      <c r="AA336" s="35" t="s">
        <v>2316</v>
      </c>
      <c r="AB336" s="32" t="s">
        <v>30</v>
      </c>
      <c r="AH336" s="32" t="s">
        <v>411</v>
      </c>
      <c r="AK336" s="40" t="s">
        <v>723</v>
      </c>
      <c r="AL336" s="32">
        <v>2018</v>
      </c>
      <c r="AM336" s="32" t="s">
        <v>724</v>
      </c>
      <c r="AN336" s="32" t="s">
        <v>725</v>
      </c>
      <c r="AO336" s="38" t="s">
        <v>726</v>
      </c>
      <c r="AP336" s="35" t="s">
        <v>396</v>
      </c>
    </row>
    <row r="337" spans="1:42" x14ac:dyDescent="0.2">
      <c r="A337" s="40">
        <v>38</v>
      </c>
      <c r="B337" s="40">
        <v>336</v>
      </c>
      <c r="C337" s="40" t="s">
        <v>114</v>
      </c>
      <c r="D337" s="38" t="s">
        <v>218</v>
      </c>
      <c r="E337" s="32" t="s">
        <v>2186</v>
      </c>
      <c r="F337" s="32" t="s">
        <v>21</v>
      </c>
      <c r="G337" s="38" t="s">
        <v>163</v>
      </c>
      <c r="H337" s="32" t="s">
        <v>151</v>
      </c>
      <c r="I337" s="32" t="s">
        <v>243</v>
      </c>
      <c r="J337" s="32" t="s">
        <v>645</v>
      </c>
      <c r="K337" s="32" t="s">
        <v>129</v>
      </c>
      <c r="L337" s="32" t="s">
        <v>30</v>
      </c>
      <c r="M337" s="32" t="s">
        <v>30</v>
      </c>
      <c r="N337" s="40">
        <v>2016</v>
      </c>
      <c r="O337" s="32">
        <f>VLOOKUP(Data!N372, CPI!$A$2:$B$112, 2, 0)</f>
        <v>218.05600000000001</v>
      </c>
      <c r="P337" s="32" t="s">
        <v>238</v>
      </c>
      <c r="Q337" s="32" t="s">
        <v>239</v>
      </c>
      <c r="R337" s="32" t="s">
        <v>693</v>
      </c>
      <c r="S337" s="32">
        <v>49</v>
      </c>
      <c r="T337" s="32" t="s">
        <v>316</v>
      </c>
      <c r="U337" s="32">
        <v>49</v>
      </c>
      <c r="V337" s="32" t="s">
        <v>316</v>
      </c>
      <c r="X337" s="32">
        <f t="shared" si="17"/>
        <v>49</v>
      </c>
      <c r="Y337" s="32">
        <f>(CPI!$B$112/O337)*X337</f>
        <v>68.464801473016109</v>
      </c>
      <c r="Z337" s="38" t="s">
        <v>262</v>
      </c>
      <c r="AA337" s="35" t="s">
        <v>2316</v>
      </c>
      <c r="AB337" s="32" t="s">
        <v>30</v>
      </c>
      <c r="AH337" s="32" t="s">
        <v>411</v>
      </c>
      <c r="AK337" s="40" t="s">
        <v>723</v>
      </c>
      <c r="AL337" s="32">
        <v>2018</v>
      </c>
      <c r="AM337" s="32" t="s">
        <v>724</v>
      </c>
      <c r="AN337" s="32" t="s">
        <v>725</v>
      </c>
      <c r="AO337" s="38" t="s">
        <v>726</v>
      </c>
      <c r="AP337" s="35" t="s">
        <v>396</v>
      </c>
    </row>
    <row r="338" spans="1:42" x14ac:dyDescent="0.2">
      <c r="A338" s="40">
        <v>38</v>
      </c>
      <c r="B338" s="40">
        <v>337</v>
      </c>
      <c r="C338" s="40" t="s">
        <v>114</v>
      </c>
      <c r="D338" s="38" t="s">
        <v>218</v>
      </c>
      <c r="E338" s="32" t="s">
        <v>2186</v>
      </c>
      <c r="F338" s="32" t="s">
        <v>21</v>
      </c>
      <c r="G338" s="38" t="s">
        <v>163</v>
      </c>
      <c r="H338" s="32" t="s">
        <v>151</v>
      </c>
      <c r="I338" s="32" t="s">
        <v>243</v>
      </c>
      <c r="J338" s="32" t="s">
        <v>645</v>
      </c>
      <c r="K338" s="32" t="s">
        <v>129</v>
      </c>
      <c r="L338" s="32" t="s">
        <v>30</v>
      </c>
      <c r="M338" s="32" t="s">
        <v>30</v>
      </c>
      <c r="N338" s="40">
        <v>2016</v>
      </c>
      <c r="O338" s="32">
        <f>VLOOKUP(Data!N373, CPI!$A$2:$B$112, 2, 0)</f>
        <v>218.05600000000001</v>
      </c>
      <c r="P338" s="32" t="s">
        <v>238</v>
      </c>
      <c r="Q338" s="32" t="s">
        <v>239</v>
      </c>
      <c r="R338" s="32" t="s">
        <v>694</v>
      </c>
      <c r="S338" s="32">
        <v>65</v>
      </c>
      <c r="T338" s="32" t="s">
        <v>316</v>
      </c>
      <c r="U338" s="32">
        <v>65</v>
      </c>
      <c r="V338" s="32" t="s">
        <v>316</v>
      </c>
      <c r="X338" s="32">
        <f t="shared" si="17"/>
        <v>65</v>
      </c>
      <c r="Y338" s="32">
        <f>(CPI!$B$112/O338)*X338</f>
        <v>90.820655015225455</v>
      </c>
      <c r="Z338" s="38" t="s">
        <v>262</v>
      </c>
      <c r="AA338" s="35" t="s">
        <v>2316</v>
      </c>
      <c r="AB338" s="32" t="s">
        <v>30</v>
      </c>
      <c r="AH338" s="32" t="s">
        <v>411</v>
      </c>
      <c r="AK338" s="40" t="s">
        <v>723</v>
      </c>
      <c r="AL338" s="32">
        <v>2018</v>
      </c>
      <c r="AM338" s="32" t="s">
        <v>724</v>
      </c>
      <c r="AN338" s="32" t="s">
        <v>725</v>
      </c>
      <c r="AO338" s="38" t="s">
        <v>726</v>
      </c>
      <c r="AP338" s="35" t="s">
        <v>396</v>
      </c>
    </row>
    <row r="339" spans="1:42" x14ac:dyDescent="0.2">
      <c r="A339" s="40">
        <v>38</v>
      </c>
      <c r="B339" s="40">
        <v>338</v>
      </c>
      <c r="C339" s="40" t="s">
        <v>114</v>
      </c>
      <c r="D339" s="38" t="s">
        <v>218</v>
      </c>
      <c r="E339" s="32" t="s">
        <v>2186</v>
      </c>
      <c r="F339" s="32" t="s">
        <v>21</v>
      </c>
      <c r="G339" s="38" t="s">
        <v>163</v>
      </c>
      <c r="H339" s="32" t="s">
        <v>151</v>
      </c>
      <c r="I339" s="32" t="s">
        <v>243</v>
      </c>
      <c r="J339" s="32" t="s">
        <v>645</v>
      </c>
      <c r="K339" s="32" t="s">
        <v>129</v>
      </c>
      <c r="L339" s="32" t="s">
        <v>30</v>
      </c>
      <c r="M339" s="32" t="s">
        <v>30</v>
      </c>
      <c r="N339" s="40">
        <v>2016</v>
      </c>
      <c r="O339" s="32">
        <f>VLOOKUP(Data!N374, CPI!$A$2:$B$112, 2, 0)</f>
        <v>218.05600000000001</v>
      </c>
      <c r="P339" s="32" t="s">
        <v>238</v>
      </c>
      <c r="Q339" s="32" t="s">
        <v>239</v>
      </c>
      <c r="R339" s="32" t="s">
        <v>695</v>
      </c>
      <c r="S339" s="32">
        <v>81</v>
      </c>
      <c r="T339" s="32" t="s">
        <v>316</v>
      </c>
      <c r="U339" s="32">
        <v>81</v>
      </c>
      <c r="V339" s="32" t="s">
        <v>316</v>
      </c>
      <c r="X339" s="32">
        <f t="shared" si="17"/>
        <v>81</v>
      </c>
      <c r="Y339" s="32">
        <f>(CPI!$B$112/O339)*X339</f>
        <v>113.1765085574348</v>
      </c>
      <c r="Z339" s="38" t="s">
        <v>262</v>
      </c>
      <c r="AA339" s="35" t="s">
        <v>2316</v>
      </c>
      <c r="AB339" s="32" t="s">
        <v>30</v>
      </c>
      <c r="AH339" s="32" t="s">
        <v>411</v>
      </c>
      <c r="AK339" s="40" t="s">
        <v>723</v>
      </c>
      <c r="AL339" s="32">
        <v>2018</v>
      </c>
      <c r="AM339" s="32" t="s">
        <v>724</v>
      </c>
      <c r="AN339" s="32" t="s">
        <v>725</v>
      </c>
      <c r="AO339" s="38" t="s">
        <v>726</v>
      </c>
      <c r="AP339" s="35" t="s">
        <v>396</v>
      </c>
    </row>
    <row r="340" spans="1:42" x14ac:dyDescent="0.2">
      <c r="A340" s="40">
        <v>38</v>
      </c>
      <c r="B340" s="40">
        <v>339</v>
      </c>
      <c r="C340" s="40" t="s">
        <v>114</v>
      </c>
      <c r="D340" s="38" t="s">
        <v>218</v>
      </c>
      <c r="E340" s="32" t="s">
        <v>2186</v>
      </c>
      <c r="F340" s="32" t="s">
        <v>21</v>
      </c>
      <c r="G340" s="38" t="s">
        <v>163</v>
      </c>
      <c r="H340" s="32" t="s">
        <v>151</v>
      </c>
      <c r="I340" s="32" t="s">
        <v>243</v>
      </c>
      <c r="J340" s="32" t="s">
        <v>645</v>
      </c>
      <c r="K340" s="32" t="s">
        <v>129</v>
      </c>
      <c r="L340" s="32" t="s">
        <v>30</v>
      </c>
      <c r="M340" s="32" t="s">
        <v>30</v>
      </c>
      <c r="N340" s="40">
        <v>2016</v>
      </c>
      <c r="O340" s="32">
        <f>VLOOKUP(Data!N375, CPI!$A$2:$B$112, 2, 0)</f>
        <v>218.05600000000001</v>
      </c>
      <c r="P340" s="32" t="s">
        <v>238</v>
      </c>
      <c r="Q340" s="32" t="s">
        <v>239</v>
      </c>
      <c r="R340" s="32" t="s">
        <v>696</v>
      </c>
      <c r="S340" s="32">
        <v>92</v>
      </c>
      <c r="T340" s="32" t="s">
        <v>316</v>
      </c>
      <c r="U340" s="32">
        <v>92</v>
      </c>
      <c r="V340" s="32" t="s">
        <v>316</v>
      </c>
      <c r="X340" s="32">
        <f t="shared" ref="X340:X368" si="18">U340</f>
        <v>92</v>
      </c>
      <c r="Y340" s="32">
        <f>(CPI!$B$112/O340)*X340</f>
        <v>128.54615786770373</v>
      </c>
      <c r="Z340" s="38" t="s">
        <v>262</v>
      </c>
      <c r="AA340" s="35" t="s">
        <v>2316</v>
      </c>
      <c r="AB340" s="32" t="s">
        <v>30</v>
      </c>
      <c r="AH340" s="32" t="s">
        <v>411</v>
      </c>
      <c r="AK340" s="40" t="s">
        <v>723</v>
      </c>
      <c r="AL340" s="32">
        <v>2018</v>
      </c>
      <c r="AM340" s="32" t="s">
        <v>724</v>
      </c>
      <c r="AN340" s="32" t="s">
        <v>725</v>
      </c>
      <c r="AO340" s="38" t="s">
        <v>726</v>
      </c>
      <c r="AP340" s="35" t="s">
        <v>396</v>
      </c>
    </row>
    <row r="341" spans="1:42" x14ac:dyDescent="0.2">
      <c r="A341" s="40">
        <v>38</v>
      </c>
      <c r="B341" s="40">
        <v>340</v>
      </c>
      <c r="C341" s="40" t="s">
        <v>114</v>
      </c>
      <c r="D341" s="38" t="s">
        <v>218</v>
      </c>
      <c r="E341" s="32" t="s">
        <v>2186</v>
      </c>
      <c r="F341" s="32" t="s">
        <v>21</v>
      </c>
      <c r="G341" s="38" t="s">
        <v>163</v>
      </c>
      <c r="H341" s="32" t="s">
        <v>151</v>
      </c>
      <c r="I341" s="32" t="s">
        <v>243</v>
      </c>
      <c r="J341" s="32" t="s">
        <v>645</v>
      </c>
      <c r="K341" s="32" t="s">
        <v>129</v>
      </c>
      <c r="L341" s="32" t="s">
        <v>30</v>
      </c>
      <c r="M341" s="32" t="s">
        <v>30</v>
      </c>
      <c r="N341" s="40">
        <v>2016</v>
      </c>
      <c r="O341" s="32">
        <f>VLOOKUP(Data!N376, CPI!$A$2:$B$112, 2, 0)</f>
        <v>201.6</v>
      </c>
      <c r="P341" s="32" t="s">
        <v>238</v>
      </c>
      <c r="Q341" s="32" t="s">
        <v>239</v>
      </c>
      <c r="R341" s="32" t="s">
        <v>697</v>
      </c>
      <c r="S341" s="32">
        <v>94</v>
      </c>
      <c r="T341" s="32" t="s">
        <v>316</v>
      </c>
      <c r="U341" s="32">
        <v>94</v>
      </c>
      <c r="V341" s="32" t="s">
        <v>316</v>
      </c>
      <c r="X341" s="32">
        <f t="shared" si="18"/>
        <v>94</v>
      </c>
      <c r="Y341" s="32">
        <f>(CPI!$B$112/O341)*X341</f>
        <v>142.06157986111114</v>
      </c>
      <c r="Z341" s="38" t="s">
        <v>262</v>
      </c>
      <c r="AA341" s="35" t="s">
        <v>2316</v>
      </c>
      <c r="AB341" s="32" t="s">
        <v>30</v>
      </c>
      <c r="AH341" s="32" t="s">
        <v>411</v>
      </c>
      <c r="AK341" s="40" t="s">
        <v>723</v>
      </c>
      <c r="AL341" s="32">
        <v>2018</v>
      </c>
      <c r="AM341" s="32" t="s">
        <v>724</v>
      </c>
      <c r="AN341" s="32" t="s">
        <v>725</v>
      </c>
      <c r="AO341" s="38" t="s">
        <v>726</v>
      </c>
      <c r="AP341" s="35" t="s">
        <v>396</v>
      </c>
    </row>
    <row r="342" spans="1:42" x14ac:dyDescent="0.2">
      <c r="A342" s="40">
        <v>38</v>
      </c>
      <c r="B342" s="40">
        <v>341</v>
      </c>
      <c r="C342" s="40" t="s">
        <v>114</v>
      </c>
      <c r="D342" s="38" t="s">
        <v>218</v>
      </c>
      <c r="E342" s="32" t="s">
        <v>2186</v>
      </c>
      <c r="F342" s="32" t="s">
        <v>21</v>
      </c>
      <c r="G342" s="38" t="s">
        <v>163</v>
      </c>
      <c r="H342" s="32" t="s">
        <v>151</v>
      </c>
      <c r="I342" s="32" t="s">
        <v>243</v>
      </c>
      <c r="J342" s="32" t="s">
        <v>645</v>
      </c>
      <c r="K342" s="32" t="s">
        <v>129</v>
      </c>
      <c r="L342" s="32" t="s">
        <v>30</v>
      </c>
      <c r="M342" s="32" t="s">
        <v>30</v>
      </c>
      <c r="N342" s="40">
        <v>2016</v>
      </c>
      <c r="O342" s="32">
        <f>VLOOKUP(Data!N377, CPI!$A$2:$B$112, 2, 0)</f>
        <v>218.05600000000001</v>
      </c>
      <c r="P342" s="32" t="s">
        <v>238</v>
      </c>
      <c r="Q342" s="32" t="s">
        <v>239</v>
      </c>
      <c r="R342" s="32" t="s">
        <v>698</v>
      </c>
      <c r="S342" s="32">
        <v>99</v>
      </c>
      <c r="T342" s="32" t="s">
        <v>316</v>
      </c>
      <c r="U342" s="32">
        <v>99</v>
      </c>
      <c r="V342" s="32" t="s">
        <v>316</v>
      </c>
      <c r="X342" s="32">
        <f t="shared" si="18"/>
        <v>99</v>
      </c>
      <c r="Y342" s="32">
        <f>(CPI!$B$112/O342)*X342</f>
        <v>138.32684379242031</v>
      </c>
      <c r="Z342" s="38" t="s">
        <v>262</v>
      </c>
      <c r="AA342" s="35" t="s">
        <v>2316</v>
      </c>
      <c r="AB342" s="32" t="s">
        <v>30</v>
      </c>
      <c r="AH342" s="32" t="s">
        <v>411</v>
      </c>
      <c r="AK342" s="40" t="s">
        <v>723</v>
      </c>
      <c r="AL342" s="32">
        <v>2018</v>
      </c>
      <c r="AM342" s="32" t="s">
        <v>724</v>
      </c>
      <c r="AN342" s="32" t="s">
        <v>725</v>
      </c>
      <c r="AO342" s="38" t="s">
        <v>726</v>
      </c>
      <c r="AP342" s="35" t="s">
        <v>396</v>
      </c>
    </row>
    <row r="343" spans="1:42" x14ac:dyDescent="0.2">
      <c r="A343" s="40">
        <v>38</v>
      </c>
      <c r="B343" s="40">
        <v>342</v>
      </c>
      <c r="C343" s="40" t="s">
        <v>114</v>
      </c>
      <c r="D343" s="38" t="s">
        <v>218</v>
      </c>
      <c r="E343" s="32" t="s">
        <v>2186</v>
      </c>
      <c r="F343" s="32" t="s">
        <v>21</v>
      </c>
      <c r="G343" s="38" t="s">
        <v>163</v>
      </c>
      <c r="H343" s="32" t="s">
        <v>151</v>
      </c>
      <c r="I343" s="32" t="s">
        <v>243</v>
      </c>
      <c r="J343" s="32" t="s">
        <v>645</v>
      </c>
      <c r="K343" s="32" t="s">
        <v>129</v>
      </c>
      <c r="L343" s="32" t="s">
        <v>30</v>
      </c>
      <c r="M343" s="32" t="s">
        <v>30</v>
      </c>
      <c r="N343" s="40">
        <v>2016</v>
      </c>
      <c r="O343" s="32">
        <f>VLOOKUP(Data!N378, CPI!$A$2:$B$112, 2, 0)</f>
        <v>218.05600000000001</v>
      </c>
      <c r="P343" s="32" t="s">
        <v>238</v>
      </c>
      <c r="Q343" s="32" t="s">
        <v>239</v>
      </c>
      <c r="R343" s="32" t="s">
        <v>699</v>
      </c>
      <c r="S343" s="32">
        <v>105</v>
      </c>
      <c r="T343" s="32" t="s">
        <v>316</v>
      </c>
      <c r="U343" s="32">
        <v>105</v>
      </c>
      <c r="V343" s="32" t="s">
        <v>316</v>
      </c>
      <c r="X343" s="32">
        <f t="shared" si="18"/>
        <v>105</v>
      </c>
      <c r="Y343" s="32">
        <f>(CPI!$B$112/O343)*X343</f>
        <v>146.7102888707488</v>
      </c>
      <c r="Z343" s="38" t="s">
        <v>262</v>
      </c>
      <c r="AA343" s="35" t="s">
        <v>2316</v>
      </c>
      <c r="AB343" s="32" t="s">
        <v>30</v>
      </c>
      <c r="AH343" s="32" t="s">
        <v>411</v>
      </c>
      <c r="AK343" s="40" t="s">
        <v>723</v>
      </c>
      <c r="AL343" s="32">
        <v>2018</v>
      </c>
      <c r="AM343" s="32" t="s">
        <v>724</v>
      </c>
      <c r="AN343" s="32" t="s">
        <v>725</v>
      </c>
      <c r="AO343" s="38" t="s">
        <v>726</v>
      </c>
      <c r="AP343" s="35" t="s">
        <v>396</v>
      </c>
    </row>
    <row r="344" spans="1:42" x14ac:dyDescent="0.2">
      <c r="A344" s="40">
        <v>38</v>
      </c>
      <c r="B344" s="40">
        <v>343</v>
      </c>
      <c r="C344" s="40" t="s">
        <v>114</v>
      </c>
      <c r="D344" s="38" t="s">
        <v>218</v>
      </c>
      <c r="E344" s="32" t="s">
        <v>2186</v>
      </c>
      <c r="F344" s="32" t="s">
        <v>21</v>
      </c>
      <c r="G344" s="38" t="s">
        <v>163</v>
      </c>
      <c r="H344" s="32" t="s">
        <v>151</v>
      </c>
      <c r="I344" s="32" t="s">
        <v>243</v>
      </c>
      <c r="J344" s="32" t="s">
        <v>645</v>
      </c>
      <c r="K344" s="32" t="s">
        <v>129</v>
      </c>
      <c r="L344" s="32" t="s">
        <v>30</v>
      </c>
      <c r="M344" s="32" t="s">
        <v>30</v>
      </c>
      <c r="N344" s="40">
        <v>2016</v>
      </c>
      <c r="O344" s="32">
        <f>VLOOKUP(Data!N379, CPI!$A$2:$B$112, 2, 0)</f>
        <v>218.05600000000001</v>
      </c>
      <c r="P344" s="32" t="s">
        <v>238</v>
      </c>
      <c r="Q344" s="32" t="s">
        <v>239</v>
      </c>
      <c r="R344" s="32" t="s">
        <v>700</v>
      </c>
      <c r="S344" s="32">
        <v>109</v>
      </c>
      <c r="T344" s="32" t="s">
        <v>316</v>
      </c>
      <c r="U344" s="32">
        <v>109</v>
      </c>
      <c r="V344" s="32" t="s">
        <v>316</v>
      </c>
      <c r="X344" s="32">
        <f t="shared" si="18"/>
        <v>109</v>
      </c>
      <c r="Y344" s="32">
        <f>(CPI!$B$112/O344)*X344</f>
        <v>152.29925225630114</v>
      </c>
      <c r="Z344" s="38" t="s">
        <v>262</v>
      </c>
      <c r="AA344" s="35" t="s">
        <v>2316</v>
      </c>
      <c r="AB344" s="32" t="s">
        <v>30</v>
      </c>
      <c r="AH344" s="32" t="s">
        <v>411</v>
      </c>
      <c r="AK344" s="40" t="s">
        <v>723</v>
      </c>
      <c r="AL344" s="32">
        <v>2018</v>
      </c>
      <c r="AM344" s="32" t="s">
        <v>724</v>
      </c>
      <c r="AN344" s="32" t="s">
        <v>725</v>
      </c>
      <c r="AO344" s="38" t="s">
        <v>726</v>
      </c>
      <c r="AP344" s="35" t="s">
        <v>396</v>
      </c>
    </row>
    <row r="345" spans="1:42" x14ac:dyDescent="0.2">
      <c r="A345" s="40">
        <v>38</v>
      </c>
      <c r="B345" s="40">
        <v>344</v>
      </c>
      <c r="C345" s="40" t="s">
        <v>114</v>
      </c>
      <c r="D345" s="38" t="s">
        <v>218</v>
      </c>
      <c r="E345" s="32" t="s">
        <v>2186</v>
      </c>
      <c r="F345" s="32" t="s">
        <v>21</v>
      </c>
      <c r="G345" s="38" t="s">
        <v>163</v>
      </c>
      <c r="H345" s="32" t="s">
        <v>151</v>
      </c>
      <c r="I345" s="32" t="s">
        <v>243</v>
      </c>
      <c r="J345" s="32" t="s">
        <v>645</v>
      </c>
      <c r="K345" s="32" t="s">
        <v>129</v>
      </c>
      <c r="L345" s="32" t="s">
        <v>30</v>
      </c>
      <c r="M345" s="32" t="s">
        <v>30</v>
      </c>
      <c r="N345" s="40">
        <v>2016</v>
      </c>
      <c r="O345" s="32">
        <f>VLOOKUP(Data!N380, CPI!$A$2:$B$112, 2, 0)</f>
        <v>218.05600000000001</v>
      </c>
      <c r="P345" s="32" t="s">
        <v>238</v>
      </c>
      <c r="Q345" s="32" t="s">
        <v>239</v>
      </c>
      <c r="R345" s="32" t="s">
        <v>701</v>
      </c>
      <c r="S345" s="32">
        <v>120</v>
      </c>
      <c r="T345" s="32" t="s">
        <v>316</v>
      </c>
      <c r="U345" s="32">
        <v>120</v>
      </c>
      <c r="V345" s="32" t="s">
        <v>316</v>
      </c>
      <c r="X345" s="32">
        <f t="shared" si="18"/>
        <v>120</v>
      </c>
      <c r="Y345" s="32">
        <f>(CPI!$B$112/O345)*X345</f>
        <v>167.66890156657007</v>
      </c>
      <c r="Z345" s="38" t="s">
        <v>262</v>
      </c>
      <c r="AA345" s="35" t="s">
        <v>2316</v>
      </c>
      <c r="AB345" s="32" t="s">
        <v>30</v>
      </c>
      <c r="AH345" s="32" t="s">
        <v>411</v>
      </c>
      <c r="AK345" s="40" t="s">
        <v>723</v>
      </c>
      <c r="AL345" s="32">
        <v>2018</v>
      </c>
      <c r="AM345" s="32" t="s">
        <v>724</v>
      </c>
      <c r="AN345" s="32" t="s">
        <v>725</v>
      </c>
      <c r="AO345" s="38" t="s">
        <v>726</v>
      </c>
      <c r="AP345" s="35" t="s">
        <v>396</v>
      </c>
    </row>
    <row r="346" spans="1:42" x14ac:dyDescent="0.2">
      <c r="A346" s="40">
        <v>38</v>
      </c>
      <c r="B346" s="40">
        <v>345</v>
      </c>
      <c r="C346" s="40" t="s">
        <v>114</v>
      </c>
      <c r="D346" s="38" t="s">
        <v>218</v>
      </c>
      <c r="E346" s="32" t="s">
        <v>2186</v>
      </c>
      <c r="F346" s="32" t="s">
        <v>21</v>
      </c>
      <c r="G346" s="38" t="s">
        <v>163</v>
      </c>
      <c r="H346" s="32" t="s">
        <v>151</v>
      </c>
      <c r="I346" s="32" t="s">
        <v>243</v>
      </c>
      <c r="J346" s="32" t="s">
        <v>645</v>
      </c>
      <c r="K346" s="32" t="s">
        <v>129</v>
      </c>
      <c r="L346" s="32" t="s">
        <v>30</v>
      </c>
      <c r="M346" s="32" t="s">
        <v>30</v>
      </c>
      <c r="N346" s="40">
        <v>2016</v>
      </c>
      <c r="O346" s="32">
        <f>VLOOKUP(Data!N381, CPI!$A$2:$B$112, 2, 0)</f>
        <v>218.05600000000001</v>
      </c>
      <c r="P346" s="32" t="s">
        <v>238</v>
      </c>
      <c r="Q346" s="32" t="s">
        <v>239</v>
      </c>
      <c r="R346" s="32" t="s">
        <v>702</v>
      </c>
      <c r="S346" s="32">
        <v>127</v>
      </c>
      <c r="T346" s="32" t="s">
        <v>316</v>
      </c>
      <c r="U346" s="32">
        <v>127</v>
      </c>
      <c r="V346" s="32" t="s">
        <v>316</v>
      </c>
      <c r="X346" s="32">
        <f t="shared" si="18"/>
        <v>127</v>
      </c>
      <c r="Y346" s="32">
        <f>(CPI!$B$112/O346)*X346</f>
        <v>177.44958749128665</v>
      </c>
      <c r="Z346" s="38" t="s">
        <v>262</v>
      </c>
      <c r="AA346" s="35" t="s">
        <v>2316</v>
      </c>
      <c r="AB346" s="32" t="s">
        <v>30</v>
      </c>
      <c r="AH346" s="32" t="s">
        <v>411</v>
      </c>
      <c r="AK346" s="40" t="s">
        <v>723</v>
      </c>
      <c r="AL346" s="32">
        <v>2018</v>
      </c>
      <c r="AM346" s="32" t="s">
        <v>724</v>
      </c>
      <c r="AN346" s="32" t="s">
        <v>725</v>
      </c>
      <c r="AO346" s="38" t="s">
        <v>726</v>
      </c>
      <c r="AP346" s="35" t="s">
        <v>396</v>
      </c>
    </row>
    <row r="347" spans="1:42" x14ac:dyDescent="0.2">
      <c r="A347" s="40">
        <v>38</v>
      </c>
      <c r="B347" s="40">
        <v>346</v>
      </c>
      <c r="C347" s="40" t="s">
        <v>114</v>
      </c>
      <c r="D347" s="38" t="s">
        <v>218</v>
      </c>
      <c r="E347" s="32" t="s">
        <v>2186</v>
      </c>
      <c r="F347" s="32" t="s">
        <v>21</v>
      </c>
      <c r="G347" s="38" t="s">
        <v>163</v>
      </c>
      <c r="H347" s="32" t="s">
        <v>151</v>
      </c>
      <c r="I347" s="32" t="s">
        <v>243</v>
      </c>
      <c r="J347" s="32" t="s">
        <v>645</v>
      </c>
      <c r="K347" s="32" t="s">
        <v>129</v>
      </c>
      <c r="L347" s="32" t="s">
        <v>30</v>
      </c>
      <c r="M347" s="32" t="s">
        <v>30</v>
      </c>
      <c r="N347" s="40">
        <v>2016</v>
      </c>
      <c r="O347" s="32">
        <f>VLOOKUP(Data!N382, CPI!$A$2:$B$112, 2, 0)</f>
        <v>218.05600000000001</v>
      </c>
      <c r="P347" s="32" t="s">
        <v>238</v>
      </c>
      <c r="Q347" s="32" t="s">
        <v>239</v>
      </c>
      <c r="R347" s="32" t="s">
        <v>703</v>
      </c>
      <c r="S347" s="32">
        <v>128</v>
      </c>
      <c r="T347" s="32" t="s">
        <v>316</v>
      </c>
      <c r="U347" s="32">
        <v>128</v>
      </c>
      <c r="V347" s="32" t="s">
        <v>316</v>
      </c>
      <c r="X347" s="32">
        <f t="shared" si="18"/>
        <v>128</v>
      </c>
      <c r="Y347" s="32">
        <f>(CPI!$B$112/O347)*X347</f>
        <v>178.84682833767474</v>
      </c>
      <c r="Z347" s="38" t="s">
        <v>262</v>
      </c>
      <c r="AA347" s="35" t="s">
        <v>2316</v>
      </c>
      <c r="AB347" s="32" t="s">
        <v>30</v>
      </c>
      <c r="AH347" s="32" t="s">
        <v>411</v>
      </c>
      <c r="AK347" s="40" t="s">
        <v>723</v>
      </c>
      <c r="AL347" s="32">
        <v>2018</v>
      </c>
      <c r="AM347" s="32" t="s">
        <v>724</v>
      </c>
      <c r="AN347" s="32" t="s">
        <v>725</v>
      </c>
      <c r="AO347" s="38" t="s">
        <v>726</v>
      </c>
      <c r="AP347" s="35" t="s">
        <v>396</v>
      </c>
    </row>
    <row r="348" spans="1:42" x14ac:dyDescent="0.2">
      <c r="A348" s="40">
        <v>38</v>
      </c>
      <c r="B348" s="40">
        <v>347</v>
      </c>
      <c r="C348" s="40" t="s">
        <v>114</v>
      </c>
      <c r="D348" s="38" t="s">
        <v>218</v>
      </c>
      <c r="E348" s="32" t="s">
        <v>2186</v>
      </c>
      <c r="F348" s="32" t="s">
        <v>21</v>
      </c>
      <c r="G348" s="38" t="s">
        <v>163</v>
      </c>
      <c r="H348" s="32" t="s">
        <v>151</v>
      </c>
      <c r="I348" s="32" t="s">
        <v>243</v>
      </c>
      <c r="J348" s="32" t="s">
        <v>645</v>
      </c>
      <c r="K348" s="32" t="s">
        <v>129</v>
      </c>
      <c r="L348" s="32" t="s">
        <v>30</v>
      </c>
      <c r="M348" s="32" t="s">
        <v>30</v>
      </c>
      <c r="N348" s="40">
        <v>2016</v>
      </c>
      <c r="O348" s="32">
        <f>VLOOKUP(Data!N383, CPI!$A$2:$B$112, 2, 0)</f>
        <v>218.05600000000001</v>
      </c>
      <c r="P348" s="32" t="s">
        <v>238</v>
      </c>
      <c r="Q348" s="32" t="s">
        <v>239</v>
      </c>
      <c r="R348" s="32" t="s">
        <v>704</v>
      </c>
      <c r="S348" s="32">
        <v>160</v>
      </c>
      <c r="T348" s="32" t="s">
        <v>316</v>
      </c>
      <c r="U348" s="32">
        <v>160</v>
      </c>
      <c r="V348" s="32" t="s">
        <v>316</v>
      </c>
      <c r="X348" s="32">
        <f t="shared" si="18"/>
        <v>160</v>
      </c>
      <c r="Y348" s="32">
        <f>(CPI!$B$112/O348)*X348</f>
        <v>223.55853542209343</v>
      </c>
      <c r="Z348" s="38" t="s">
        <v>262</v>
      </c>
      <c r="AA348" s="35" t="s">
        <v>2316</v>
      </c>
      <c r="AB348" s="32" t="s">
        <v>30</v>
      </c>
      <c r="AH348" s="32" t="s">
        <v>411</v>
      </c>
      <c r="AK348" s="40" t="s">
        <v>723</v>
      </c>
      <c r="AL348" s="32">
        <v>2018</v>
      </c>
      <c r="AM348" s="32" t="s">
        <v>724</v>
      </c>
      <c r="AN348" s="32" t="s">
        <v>725</v>
      </c>
      <c r="AO348" s="38" t="s">
        <v>726</v>
      </c>
      <c r="AP348" s="35" t="s">
        <v>396</v>
      </c>
    </row>
    <row r="349" spans="1:42" x14ac:dyDescent="0.2">
      <c r="A349" s="40">
        <v>38</v>
      </c>
      <c r="B349" s="40">
        <v>348</v>
      </c>
      <c r="C349" s="40" t="s">
        <v>114</v>
      </c>
      <c r="D349" s="38" t="s">
        <v>218</v>
      </c>
      <c r="E349" s="32" t="s">
        <v>2184</v>
      </c>
      <c r="F349" s="32" t="s">
        <v>131</v>
      </c>
      <c r="G349" s="38" t="s">
        <v>133</v>
      </c>
      <c r="H349" s="32" t="s">
        <v>151</v>
      </c>
      <c r="I349" s="32" t="s">
        <v>243</v>
      </c>
      <c r="J349" s="32" t="s">
        <v>645</v>
      </c>
      <c r="K349" s="32" t="s">
        <v>129</v>
      </c>
      <c r="L349" s="32" t="s">
        <v>30</v>
      </c>
      <c r="M349" s="32" t="s">
        <v>30</v>
      </c>
      <c r="N349" s="40">
        <v>2016</v>
      </c>
      <c r="O349" s="32">
        <f>VLOOKUP(Data!N384, CPI!$A$2:$B$112, 2, 0)</f>
        <v>218.05600000000001</v>
      </c>
      <c r="P349" s="32" t="s">
        <v>238</v>
      </c>
      <c r="Q349" s="32" t="s">
        <v>239</v>
      </c>
      <c r="R349" s="32" t="s">
        <v>705</v>
      </c>
      <c r="S349" s="32">
        <v>82</v>
      </c>
      <c r="T349" s="32" t="s">
        <v>316</v>
      </c>
      <c r="U349" s="32">
        <v>82</v>
      </c>
      <c r="V349" s="32" t="s">
        <v>316</v>
      </c>
      <c r="X349" s="32">
        <f t="shared" si="18"/>
        <v>82</v>
      </c>
      <c r="Y349" s="32">
        <f>(CPI!$B$112/O349)*X349</f>
        <v>114.57374940382287</v>
      </c>
      <c r="Z349" s="38" t="s">
        <v>262</v>
      </c>
      <c r="AA349" s="35" t="s">
        <v>2317</v>
      </c>
      <c r="AB349" s="32" t="s">
        <v>30</v>
      </c>
      <c r="AH349" s="32" t="s">
        <v>411</v>
      </c>
      <c r="AK349" s="40" t="s">
        <v>723</v>
      </c>
      <c r="AL349" s="32">
        <v>2018</v>
      </c>
      <c r="AM349" s="32" t="s">
        <v>724</v>
      </c>
      <c r="AN349" s="32" t="s">
        <v>725</v>
      </c>
      <c r="AO349" s="38" t="s">
        <v>726</v>
      </c>
      <c r="AP349" s="35" t="s">
        <v>396</v>
      </c>
    </row>
    <row r="350" spans="1:42" x14ac:dyDescent="0.2">
      <c r="A350" s="40">
        <v>38</v>
      </c>
      <c r="B350" s="40">
        <v>349</v>
      </c>
      <c r="C350" s="40" t="s">
        <v>114</v>
      </c>
      <c r="D350" s="38" t="s">
        <v>218</v>
      </c>
      <c r="E350" s="32" t="s">
        <v>2184</v>
      </c>
      <c r="F350" s="32" t="s">
        <v>131</v>
      </c>
      <c r="G350" s="38" t="s">
        <v>133</v>
      </c>
      <c r="H350" s="32" t="s">
        <v>151</v>
      </c>
      <c r="I350" s="32" t="s">
        <v>243</v>
      </c>
      <c r="J350" s="32" t="s">
        <v>645</v>
      </c>
      <c r="K350" s="32" t="s">
        <v>129</v>
      </c>
      <c r="L350" s="32" t="s">
        <v>30</v>
      </c>
      <c r="M350" s="32" t="s">
        <v>30</v>
      </c>
      <c r="N350" s="40">
        <v>2016</v>
      </c>
      <c r="O350" s="32">
        <f>VLOOKUP(Data!N385, CPI!$A$2:$B$112, 2, 0)</f>
        <v>232.95699999999999</v>
      </c>
      <c r="P350" s="32" t="s">
        <v>238</v>
      </c>
      <c r="Q350" s="32" t="s">
        <v>239</v>
      </c>
      <c r="R350" s="32" t="s">
        <v>706</v>
      </c>
      <c r="S350" s="32">
        <v>80</v>
      </c>
      <c r="T350" s="32" t="s">
        <v>316</v>
      </c>
      <c r="U350" s="32">
        <v>80</v>
      </c>
      <c r="V350" s="32" t="s">
        <v>316</v>
      </c>
      <c r="X350" s="32">
        <f t="shared" si="18"/>
        <v>80</v>
      </c>
      <c r="Y350" s="32">
        <f>(CPI!$B$112/O350)*X350</f>
        <v>104.62935219804514</v>
      </c>
      <c r="Z350" s="38" t="s">
        <v>262</v>
      </c>
      <c r="AA350" s="35" t="s">
        <v>2317</v>
      </c>
      <c r="AB350" s="32" t="s">
        <v>30</v>
      </c>
      <c r="AH350" s="32" t="s">
        <v>411</v>
      </c>
      <c r="AK350" s="40" t="s">
        <v>723</v>
      </c>
      <c r="AL350" s="32">
        <v>2018</v>
      </c>
      <c r="AM350" s="32" t="s">
        <v>724</v>
      </c>
      <c r="AN350" s="32" t="s">
        <v>725</v>
      </c>
      <c r="AO350" s="38" t="s">
        <v>726</v>
      </c>
      <c r="AP350" s="35" t="s">
        <v>396</v>
      </c>
    </row>
    <row r="351" spans="1:42" x14ac:dyDescent="0.2">
      <c r="A351" s="40">
        <v>38</v>
      </c>
      <c r="B351" s="40">
        <v>350</v>
      </c>
      <c r="C351" s="40" t="s">
        <v>114</v>
      </c>
      <c r="D351" s="38" t="s">
        <v>218</v>
      </c>
      <c r="E351" s="32" t="s">
        <v>2184</v>
      </c>
      <c r="F351" s="32" t="s">
        <v>131</v>
      </c>
      <c r="G351" s="38" t="s">
        <v>133</v>
      </c>
      <c r="H351" s="32" t="s">
        <v>151</v>
      </c>
      <c r="I351" s="32" t="s">
        <v>243</v>
      </c>
      <c r="J351" s="32" t="s">
        <v>645</v>
      </c>
      <c r="K351" s="32" t="s">
        <v>129</v>
      </c>
      <c r="L351" s="32" t="s">
        <v>30</v>
      </c>
      <c r="M351" s="32" t="s">
        <v>30</v>
      </c>
      <c r="N351" s="40">
        <v>2016</v>
      </c>
      <c r="O351" s="32">
        <f>VLOOKUP(Data!N386, CPI!$A$2:$B$112, 2, 0)</f>
        <v>232.95699999999999</v>
      </c>
      <c r="P351" s="32" t="s">
        <v>238</v>
      </c>
      <c r="Q351" s="32" t="s">
        <v>239</v>
      </c>
      <c r="R351" s="32" t="s">
        <v>707</v>
      </c>
      <c r="S351" s="32">
        <v>52</v>
      </c>
      <c r="T351" s="32" t="s">
        <v>316</v>
      </c>
      <c r="U351" s="32">
        <v>52</v>
      </c>
      <c r="V351" s="32" t="s">
        <v>316</v>
      </c>
      <c r="X351" s="32">
        <f t="shared" si="18"/>
        <v>52</v>
      </c>
      <c r="Y351" s="32">
        <f>(CPI!$B$112/O351)*X351</f>
        <v>68.009078928729338</v>
      </c>
      <c r="Z351" s="38" t="s">
        <v>262</v>
      </c>
      <c r="AA351" s="35" t="s">
        <v>2317</v>
      </c>
      <c r="AB351" s="32" t="s">
        <v>30</v>
      </c>
      <c r="AH351" s="32" t="s">
        <v>411</v>
      </c>
      <c r="AK351" s="40" t="s">
        <v>723</v>
      </c>
      <c r="AL351" s="32">
        <v>2018</v>
      </c>
      <c r="AM351" s="32" t="s">
        <v>724</v>
      </c>
      <c r="AN351" s="32" t="s">
        <v>725</v>
      </c>
      <c r="AO351" s="38" t="s">
        <v>726</v>
      </c>
      <c r="AP351" s="35" t="s">
        <v>396</v>
      </c>
    </row>
    <row r="352" spans="1:42" x14ac:dyDescent="0.2">
      <c r="A352" s="40">
        <v>38</v>
      </c>
      <c r="B352" s="40">
        <v>351</v>
      </c>
      <c r="C352" s="40" t="s">
        <v>114</v>
      </c>
      <c r="D352" s="38" t="s">
        <v>218</v>
      </c>
      <c r="E352" s="32" t="s">
        <v>2184</v>
      </c>
      <c r="F352" s="32" t="s">
        <v>131</v>
      </c>
      <c r="G352" s="38" t="s">
        <v>133</v>
      </c>
      <c r="H352" s="32" t="s">
        <v>151</v>
      </c>
      <c r="I352" s="32" t="s">
        <v>243</v>
      </c>
      <c r="J352" s="32" t="s">
        <v>645</v>
      </c>
      <c r="K352" s="32" t="s">
        <v>129</v>
      </c>
      <c r="L352" s="32" t="s">
        <v>30</v>
      </c>
      <c r="M352" s="32" t="s">
        <v>30</v>
      </c>
      <c r="N352" s="40">
        <v>2016</v>
      </c>
      <c r="O352" s="32">
        <f>VLOOKUP(Data!N387, CPI!$A$2:$B$112, 2, 0)</f>
        <v>232.95699999999999</v>
      </c>
      <c r="P352" s="32" t="s">
        <v>238</v>
      </c>
      <c r="Q352" s="32" t="s">
        <v>239</v>
      </c>
      <c r="R352" s="32" t="s">
        <v>708</v>
      </c>
      <c r="S352" s="32">
        <v>48</v>
      </c>
      <c r="T352" s="32" t="s">
        <v>316</v>
      </c>
      <c r="U352" s="32">
        <v>48</v>
      </c>
      <c r="V352" s="32" t="s">
        <v>316</v>
      </c>
      <c r="X352" s="32">
        <f t="shared" si="18"/>
        <v>48</v>
      </c>
      <c r="Y352" s="32">
        <f>(CPI!$B$112/O352)*X352</f>
        <v>62.777611318827084</v>
      </c>
      <c r="Z352" s="38" t="s">
        <v>262</v>
      </c>
      <c r="AA352" s="35" t="s">
        <v>2317</v>
      </c>
      <c r="AB352" s="32" t="s">
        <v>30</v>
      </c>
      <c r="AH352" s="32" t="s">
        <v>411</v>
      </c>
      <c r="AK352" s="40" t="s">
        <v>723</v>
      </c>
      <c r="AL352" s="32">
        <v>2018</v>
      </c>
      <c r="AM352" s="32" t="s">
        <v>724</v>
      </c>
      <c r="AN352" s="32" t="s">
        <v>725</v>
      </c>
      <c r="AO352" s="38" t="s">
        <v>726</v>
      </c>
      <c r="AP352" s="35" t="s">
        <v>396</v>
      </c>
    </row>
    <row r="353" spans="1:42" x14ac:dyDescent="0.2">
      <c r="A353" s="40">
        <v>38</v>
      </c>
      <c r="B353" s="40">
        <v>352</v>
      </c>
      <c r="C353" s="40" t="s">
        <v>114</v>
      </c>
      <c r="D353" s="38" t="s">
        <v>218</v>
      </c>
      <c r="E353" s="32" t="s">
        <v>2184</v>
      </c>
      <c r="F353" s="32" t="s">
        <v>131</v>
      </c>
      <c r="G353" s="38" t="s">
        <v>133</v>
      </c>
      <c r="H353" s="32" t="s">
        <v>151</v>
      </c>
      <c r="I353" s="32" t="s">
        <v>243</v>
      </c>
      <c r="J353" s="32" t="s">
        <v>645</v>
      </c>
      <c r="K353" s="32" t="s">
        <v>129</v>
      </c>
      <c r="L353" s="32" t="s">
        <v>30</v>
      </c>
      <c r="M353" s="32" t="s">
        <v>30</v>
      </c>
      <c r="N353" s="40">
        <v>2016</v>
      </c>
      <c r="O353" s="32">
        <f>VLOOKUP(Data!N388, CPI!$A$2:$B$112, 2, 0)</f>
        <v>232.95699999999999</v>
      </c>
      <c r="P353" s="32" t="s">
        <v>238</v>
      </c>
      <c r="Q353" s="32" t="s">
        <v>239</v>
      </c>
      <c r="R353" s="32" t="s">
        <v>709</v>
      </c>
      <c r="S353" s="32">
        <v>29</v>
      </c>
      <c r="T353" s="32" t="s">
        <v>316</v>
      </c>
      <c r="U353" s="32">
        <v>29</v>
      </c>
      <c r="V353" s="32" t="s">
        <v>316</v>
      </c>
      <c r="X353" s="32">
        <f t="shared" si="18"/>
        <v>29</v>
      </c>
      <c r="Y353" s="32">
        <f>(CPI!$B$112/O353)*X353</f>
        <v>37.928140171791362</v>
      </c>
      <c r="Z353" s="38" t="s">
        <v>262</v>
      </c>
      <c r="AA353" s="35" t="s">
        <v>2317</v>
      </c>
      <c r="AB353" s="32" t="s">
        <v>30</v>
      </c>
      <c r="AH353" s="32" t="s">
        <v>411</v>
      </c>
      <c r="AK353" s="40" t="s">
        <v>723</v>
      </c>
      <c r="AL353" s="32">
        <v>2018</v>
      </c>
      <c r="AM353" s="32" t="s">
        <v>724</v>
      </c>
      <c r="AN353" s="32" t="s">
        <v>725</v>
      </c>
      <c r="AO353" s="38" t="s">
        <v>726</v>
      </c>
      <c r="AP353" s="35" t="s">
        <v>396</v>
      </c>
    </row>
    <row r="354" spans="1:42" x14ac:dyDescent="0.2">
      <c r="A354" s="40">
        <v>38</v>
      </c>
      <c r="B354" s="40">
        <v>353</v>
      </c>
      <c r="C354" s="40" t="s">
        <v>114</v>
      </c>
      <c r="D354" s="38" t="s">
        <v>218</v>
      </c>
      <c r="E354" s="32" t="s">
        <v>2184</v>
      </c>
      <c r="F354" s="32" t="s">
        <v>131</v>
      </c>
      <c r="G354" s="38" t="s">
        <v>133</v>
      </c>
      <c r="H354" s="32" t="s">
        <v>151</v>
      </c>
      <c r="I354" s="32" t="s">
        <v>243</v>
      </c>
      <c r="J354" s="32" t="s">
        <v>645</v>
      </c>
      <c r="K354" s="32" t="s">
        <v>129</v>
      </c>
      <c r="L354" s="32" t="s">
        <v>30</v>
      </c>
      <c r="M354" s="32" t="s">
        <v>30</v>
      </c>
      <c r="N354" s="40">
        <v>2016</v>
      </c>
      <c r="O354" s="32">
        <f>VLOOKUP(Data!N389, CPI!$A$2:$B$112, 2, 0)</f>
        <v>232.95699999999999</v>
      </c>
      <c r="P354" s="32" t="s">
        <v>238</v>
      </c>
      <c r="Q354" s="32" t="s">
        <v>239</v>
      </c>
      <c r="R354" s="32" t="s">
        <v>710</v>
      </c>
      <c r="S354" s="32">
        <v>25</v>
      </c>
      <c r="T354" s="32" t="s">
        <v>316</v>
      </c>
      <c r="U354" s="32">
        <v>25</v>
      </c>
      <c r="V354" s="32" t="s">
        <v>316</v>
      </c>
      <c r="X354" s="32">
        <f t="shared" si="18"/>
        <v>25</v>
      </c>
      <c r="Y354" s="32">
        <f>(CPI!$B$112/O354)*X354</f>
        <v>32.696672561889109</v>
      </c>
      <c r="Z354" s="38" t="s">
        <v>262</v>
      </c>
      <c r="AA354" s="35" t="s">
        <v>2317</v>
      </c>
      <c r="AB354" s="32" t="s">
        <v>30</v>
      </c>
      <c r="AH354" s="32" t="s">
        <v>411</v>
      </c>
      <c r="AK354" s="40" t="s">
        <v>723</v>
      </c>
      <c r="AL354" s="32">
        <v>2018</v>
      </c>
      <c r="AM354" s="32" t="s">
        <v>724</v>
      </c>
      <c r="AN354" s="32" t="s">
        <v>725</v>
      </c>
      <c r="AO354" s="38" t="s">
        <v>726</v>
      </c>
      <c r="AP354" s="35" t="s">
        <v>396</v>
      </c>
    </row>
    <row r="355" spans="1:42" x14ac:dyDescent="0.2">
      <c r="A355" s="40">
        <v>38</v>
      </c>
      <c r="B355" s="40">
        <v>354</v>
      </c>
      <c r="C355" s="40" t="s">
        <v>114</v>
      </c>
      <c r="D355" s="38" t="s">
        <v>218</v>
      </c>
      <c r="E355" s="32" t="s">
        <v>2184</v>
      </c>
      <c r="F355" s="32" t="s">
        <v>131</v>
      </c>
      <c r="G355" s="38" t="s">
        <v>133</v>
      </c>
      <c r="H355" s="32" t="s">
        <v>151</v>
      </c>
      <c r="I355" s="32" t="s">
        <v>243</v>
      </c>
      <c r="J355" s="32" t="s">
        <v>645</v>
      </c>
      <c r="K355" s="32" t="s">
        <v>129</v>
      </c>
      <c r="L355" s="32" t="s">
        <v>30</v>
      </c>
      <c r="M355" s="32" t="s">
        <v>30</v>
      </c>
      <c r="N355" s="40">
        <v>2016</v>
      </c>
      <c r="O355" s="32">
        <f>VLOOKUP(Data!N390, CPI!$A$2:$B$112, 2, 0)</f>
        <v>232.95699999999999</v>
      </c>
      <c r="P355" s="32" t="s">
        <v>238</v>
      </c>
      <c r="Q355" s="32" t="s">
        <v>239</v>
      </c>
      <c r="R355" s="32" t="s">
        <v>711</v>
      </c>
      <c r="S355" s="32">
        <v>23</v>
      </c>
      <c r="T355" s="32" t="s">
        <v>316</v>
      </c>
      <c r="U355" s="32">
        <v>23</v>
      </c>
      <c r="V355" s="32" t="s">
        <v>316</v>
      </c>
      <c r="X355" s="32">
        <f t="shared" si="18"/>
        <v>23</v>
      </c>
      <c r="Y355" s="32">
        <f>(CPI!$B$112/O355)*X355</f>
        <v>30.080938756937979</v>
      </c>
      <c r="Z355" s="38" t="s">
        <v>262</v>
      </c>
      <c r="AA355" s="35" t="s">
        <v>2317</v>
      </c>
      <c r="AB355" s="32" t="s">
        <v>30</v>
      </c>
      <c r="AH355" s="32" t="s">
        <v>411</v>
      </c>
      <c r="AK355" s="40" t="s">
        <v>723</v>
      </c>
      <c r="AL355" s="32">
        <v>2018</v>
      </c>
      <c r="AM355" s="32" t="s">
        <v>724</v>
      </c>
      <c r="AN355" s="32" t="s">
        <v>725</v>
      </c>
      <c r="AO355" s="38" t="s">
        <v>726</v>
      </c>
      <c r="AP355" s="35" t="s">
        <v>396</v>
      </c>
    </row>
    <row r="356" spans="1:42" x14ac:dyDescent="0.2">
      <c r="A356" s="40">
        <v>38</v>
      </c>
      <c r="B356" s="40">
        <v>355</v>
      </c>
      <c r="C356" s="40" t="s">
        <v>114</v>
      </c>
      <c r="D356" s="38" t="s">
        <v>218</v>
      </c>
      <c r="E356" s="32" t="s">
        <v>2184</v>
      </c>
      <c r="F356" s="32" t="s">
        <v>131</v>
      </c>
      <c r="G356" s="38" t="s">
        <v>133</v>
      </c>
      <c r="H356" s="32" t="s">
        <v>151</v>
      </c>
      <c r="I356" s="32" t="s">
        <v>243</v>
      </c>
      <c r="J356" s="32" t="s">
        <v>645</v>
      </c>
      <c r="K356" s="32" t="s">
        <v>129</v>
      </c>
      <c r="L356" s="32" t="s">
        <v>30</v>
      </c>
      <c r="M356" s="32" t="s">
        <v>30</v>
      </c>
      <c r="N356" s="40">
        <v>2016</v>
      </c>
      <c r="O356" s="32">
        <f>VLOOKUP(Data!N391, CPI!$A$2:$B$112, 2, 0)</f>
        <v>232.95699999999999</v>
      </c>
      <c r="P356" s="32" t="s">
        <v>238</v>
      </c>
      <c r="Q356" s="32" t="s">
        <v>239</v>
      </c>
      <c r="R356" s="32" t="s">
        <v>712</v>
      </c>
      <c r="S356" s="32">
        <v>22</v>
      </c>
      <c r="T356" s="32" t="s">
        <v>316</v>
      </c>
      <c r="U356" s="32">
        <v>22</v>
      </c>
      <c r="V356" s="32" t="s">
        <v>316</v>
      </c>
      <c r="X356" s="32">
        <f t="shared" si="18"/>
        <v>22</v>
      </c>
      <c r="Y356" s="32">
        <f>(CPI!$B$112/O356)*X356</f>
        <v>28.773071854462415</v>
      </c>
      <c r="Z356" s="38" t="s">
        <v>262</v>
      </c>
      <c r="AA356" s="35" t="s">
        <v>2317</v>
      </c>
      <c r="AB356" s="32" t="s">
        <v>30</v>
      </c>
      <c r="AH356" s="32" t="s">
        <v>411</v>
      </c>
      <c r="AK356" s="40" t="s">
        <v>723</v>
      </c>
      <c r="AL356" s="32">
        <v>2018</v>
      </c>
      <c r="AM356" s="32" t="s">
        <v>724</v>
      </c>
      <c r="AN356" s="32" t="s">
        <v>725</v>
      </c>
      <c r="AO356" s="38" t="s">
        <v>726</v>
      </c>
      <c r="AP356" s="35" t="s">
        <v>396</v>
      </c>
    </row>
    <row r="357" spans="1:42" x14ac:dyDescent="0.2">
      <c r="A357" s="40">
        <v>38</v>
      </c>
      <c r="B357" s="40">
        <v>356</v>
      </c>
      <c r="C357" s="40" t="s">
        <v>114</v>
      </c>
      <c r="D357" s="38" t="s">
        <v>218</v>
      </c>
      <c r="E357" s="32" t="s">
        <v>2184</v>
      </c>
      <c r="F357" s="32" t="s">
        <v>131</v>
      </c>
      <c r="G357" s="38" t="s">
        <v>133</v>
      </c>
      <c r="H357" s="32" t="s">
        <v>151</v>
      </c>
      <c r="I357" s="32" t="s">
        <v>243</v>
      </c>
      <c r="J357" s="32" t="s">
        <v>645</v>
      </c>
      <c r="K357" s="32" t="s">
        <v>129</v>
      </c>
      <c r="L357" s="32" t="s">
        <v>30</v>
      </c>
      <c r="M357" s="32" t="s">
        <v>30</v>
      </c>
      <c r="N357" s="40">
        <v>2016</v>
      </c>
      <c r="O357" s="32">
        <f>VLOOKUP(Data!N392, CPI!$A$2:$B$112, 2, 0)</f>
        <v>232.95699999999999</v>
      </c>
      <c r="P357" s="32" t="s">
        <v>238</v>
      </c>
      <c r="Q357" s="32" t="s">
        <v>239</v>
      </c>
      <c r="R357" s="32" t="s">
        <v>713</v>
      </c>
      <c r="S357" s="32">
        <v>17</v>
      </c>
      <c r="T357" s="32" t="s">
        <v>316</v>
      </c>
      <c r="U357" s="32">
        <v>17</v>
      </c>
      <c r="V357" s="32" t="s">
        <v>316</v>
      </c>
      <c r="X357" s="32">
        <f t="shared" si="18"/>
        <v>17</v>
      </c>
      <c r="Y357" s="32">
        <f>(CPI!$B$112/O357)*X357</f>
        <v>22.233737342084591</v>
      </c>
      <c r="Z357" s="38" t="s">
        <v>262</v>
      </c>
      <c r="AA357" s="35" t="s">
        <v>2317</v>
      </c>
      <c r="AB357" s="32" t="s">
        <v>30</v>
      </c>
      <c r="AH357" s="32" t="s">
        <v>411</v>
      </c>
      <c r="AK357" s="40" t="s">
        <v>723</v>
      </c>
      <c r="AL357" s="32">
        <v>2018</v>
      </c>
      <c r="AM357" s="32" t="s">
        <v>724</v>
      </c>
      <c r="AN357" s="32" t="s">
        <v>725</v>
      </c>
      <c r="AO357" s="38" t="s">
        <v>726</v>
      </c>
      <c r="AP357" s="35" t="s">
        <v>396</v>
      </c>
    </row>
    <row r="358" spans="1:42" x14ac:dyDescent="0.2">
      <c r="A358" s="40">
        <v>38</v>
      </c>
      <c r="B358" s="40">
        <v>357</v>
      </c>
      <c r="C358" s="40" t="s">
        <v>114</v>
      </c>
      <c r="D358" s="38" t="s">
        <v>218</v>
      </c>
      <c r="E358" s="32" t="s">
        <v>2184</v>
      </c>
      <c r="F358" s="32" t="s">
        <v>131</v>
      </c>
      <c r="G358" s="38" t="s">
        <v>133</v>
      </c>
      <c r="H358" s="32" t="s">
        <v>151</v>
      </c>
      <c r="I358" s="32" t="s">
        <v>243</v>
      </c>
      <c r="J358" s="32" t="s">
        <v>645</v>
      </c>
      <c r="K358" s="32" t="s">
        <v>129</v>
      </c>
      <c r="L358" s="32" t="s">
        <v>30</v>
      </c>
      <c r="M358" s="32" t="s">
        <v>30</v>
      </c>
      <c r="N358" s="40">
        <v>2016</v>
      </c>
      <c r="O358" s="32">
        <f>VLOOKUP(Data!N393, CPI!$A$2:$B$112, 2, 0)</f>
        <v>232.95699999999999</v>
      </c>
      <c r="P358" s="32" t="s">
        <v>238</v>
      </c>
      <c r="Q358" s="32" t="s">
        <v>239</v>
      </c>
      <c r="R358" s="32" t="s">
        <v>714</v>
      </c>
      <c r="S358" s="32">
        <v>16</v>
      </c>
      <c r="T358" s="32" t="s">
        <v>316</v>
      </c>
      <c r="U358" s="32">
        <v>16</v>
      </c>
      <c r="V358" s="32" t="s">
        <v>316</v>
      </c>
      <c r="X358" s="32">
        <f t="shared" si="18"/>
        <v>16</v>
      </c>
      <c r="Y358" s="32">
        <f>(CPI!$B$112/O358)*X358</f>
        <v>20.925870439609028</v>
      </c>
      <c r="Z358" s="38" t="s">
        <v>262</v>
      </c>
      <c r="AA358" s="35" t="s">
        <v>2317</v>
      </c>
      <c r="AB358" s="32" t="s">
        <v>30</v>
      </c>
      <c r="AH358" s="32" t="s">
        <v>411</v>
      </c>
      <c r="AK358" s="40" t="s">
        <v>723</v>
      </c>
      <c r="AL358" s="32">
        <v>2018</v>
      </c>
      <c r="AM358" s="32" t="s">
        <v>724</v>
      </c>
      <c r="AN358" s="32" t="s">
        <v>725</v>
      </c>
      <c r="AO358" s="38" t="s">
        <v>726</v>
      </c>
      <c r="AP358" s="35" t="s">
        <v>396</v>
      </c>
    </row>
    <row r="359" spans="1:42" x14ac:dyDescent="0.2">
      <c r="A359" s="40">
        <v>38</v>
      </c>
      <c r="B359" s="40">
        <v>358</v>
      </c>
      <c r="C359" s="40" t="s">
        <v>114</v>
      </c>
      <c r="D359" s="38" t="s">
        <v>218</v>
      </c>
      <c r="E359" s="32" t="s">
        <v>2184</v>
      </c>
      <c r="F359" s="32" t="s">
        <v>131</v>
      </c>
      <c r="G359" s="38" t="s">
        <v>133</v>
      </c>
      <c r="H359" s="32" t="s">
        <v>151</v>
      </c>
      <c r="I359" s="32" t="s">
        <v>243</v>
      </c>
      <c r="J359" s="32" t="s">
        <v>645</v>
      </c>
      <c r="K359" s="32" t="s">
        <v>129</v>
      </c>
      <c r="L359" s="32" t="s">
        <v>30</v>
      </c>
      <c r="M359" s="32" t="s">
        <v>30</v>
      </c>
      <c r="N359" s="40">
        <v>2016</v>
      </c>
      <c r="O359" s="32">
        <f>VLOOKUP(Data!N394, CPI!$A$2:$B$112, 2, 0)</f>
        <v>232.95699999999999</v>
      </c>
      <c r="P359" s="32" t="s">
        <v>238</v>
      </c>
      <c r="Q359" s="32" t="s">
        <v>239</v>
      </c>
      <c r="R359" s="32" t="s">
        <v>715</v>
      </c>
      <c r="S359" s="32">
        <v>9</v>
      </c>
      <c r="T359" s="32" t="s">
        <v>316</v>
      </c>
      <c r="U359" s="32">
        <v>9</v>
      </c>
      <c r="V359" s="32" t="s">
        <v>316</v>
      </c>
      <c r="X359" s="32">
        <f t="shared" si="18"/>
        <v>9</v>
      </c>
      <c r="Y359" s="32">
        <f>(CPI!$B$112/O359)*X359</f>
        <v>11.770802122280077</v>
      </c>
      <c r="Z359" s="38" t="s">
        <v>262</v>
      </c>
      <c r="AA359" s="35" t="s">
        <v>2317</v>
      </c>
      <c r="AB359" s="32" t="s">
        <v>30</v>
      </c>
      <c r="AH359" s="32" t="s">
        <v>411</v>
      </c>
      <c r="AK359" s="40" t="s">
        <v>723</v>
      </c>
      <c r="AL359" s="32">
        <v>2018</v>
      </c>
      <c r="AM359" s="32" t="s">
        <v>724</v>
      </c>
      <c r="AN359" s="32" t="s">
        <v>725</v>
      </c>
      <c r="AO359" s="38" t="s">
        <v>726</v>
      </c>
      <c r="AP359" s="35" t="s">
        <v>396</v>
      </c>
    </row>
    <row r="360" spans="1:42" x14ac:dyDescent="0.2">
      <c r="A360" s="40">
        <v>38</v>
      </c>
      <c r="B360" s="40">
        <v>359</v>
      </c>
      <c r="C360" s="40" t="s">
        <v>114</v>
      </c>
      <c r="D360" s="38" t="s">
        <v>218</v>
      </c>
      <c r="E360" s="32" t="s">
        <v>2184</v>
      </c>
      <c r="F360" s="32" t="s">
        <v>131</v>
      </c>
      <c r="G360" s="38" t="s">
        <v>133</v>
      </c>
      <c r="H360" s="32" t="s">
        <v>151</v>
      </c>
      <c r="I360" s="32" t="s">
        <v>243</v>
      </c>
      <c r="J360" s="32" t="s">
        <v>645</v>
      </c>
      <c r="K360" s="32" t="s">
        <v>129</v>
      </c>
      <c r="L360" s="32" t="s">
        <v>30</v>
      </c>
      <c r="M360" s="32" t="s">
        <v>30</v>
      </c>
      <c r="N360" s="40">
        <v>2016</v>
      </c>
      <c r="O360" s="32">
        <f>VLOOKUP(Data!N395, CPI!$A$2:$B$112, 2, 0)</f>
        <v>232.95699999999999</v>
      </c>
      <c r="P360" s="32" t="s">
        <v>238</v>
      </c>
      <c r="Q360" s="32" t="s">
        <v>239</v>
      </c>
      <c r="R360" s="32" t="s">
        <v>716</v>
      </c>
      <c r="S360" s="32">
        <v>8</v>
      </c>
      <c r="T360" s="32" t="s">
        <v>316</v>
      </c>
      <c r="U360" s="32">
        <v>8</v>
      </c>
      <c r="V360" s="32" t="s">
        <v>316</v>
      </c>
      <c r="X360" s="32">
        <f t="shared" si="18"/>
        <v>8</v>
      </c>
      <c r="Y360" s="32">
        <f>(CPI!$B$112/O360)*X360</f>
        <v>10.462935219804514</v>
      </c>
      <c r="Z360" s="38" t="s">
        <v>262</v>
      </c>
      <c r="AA360" s="35" t="s">
        <v>2317</v>
      </c>
      <c r="AB360" s="32" t="s">
        <v>30</v>
      </c>
      <c r="AH360" s="32" t="s">
        <v>411</v>
      </c>
      <c r="AK360" s="40" t="s">
        <v>723</v>
      </c>
      <c r="AL360" s="32">
        <v>2018</v>
      </c>
      <c r="AM360" s="32" t="s">
        <v>724</v>
      </c>
      <c r="AN360" s="32" t="s">
        <v>725</v>
      </c>
      <c r="AO360" s="38" t="s">
        <v>726</v>
      </c>
      <c r="AP360" s="35" t="s">
        <v>396</v>
      </c>
    </row>
    <row r="361" spans="1:42" x14ac:dyDescent="0.2">
      <c r="A361" s="40">
        <v>38</v>
      </c>
      <c r="B361" s="40">
        <v>360</v>
      </c>
      <c r="C361" s="40" t="s">
        <v>114</v>
      </c>
      <c r="D361" s="38" t="s">
        <v>218</v>
      </c>
      <c r="E361" s="32" t="s">
        <v>2184</v>
      </c>
      <c r="F361" s="32" t="s">
        <v>131</v>
      </c>
      <c r="G361" s="38" t="s">
        <v>133</v>
      </c>
      <c r="H361" s="32" t="s">
        <v>151</v>
      </c>
      <c r="I361" s="32" t="s">
        <v>243</v>
      </c>
      <c r="J361" s="32" t="s">
        <v>645</v>
      </c>
      <c r="K361" s="32" t="s">
        <v>129</v>
      </c>
      <c r="L361" s="32" t="s">
        <v>30</v>
      </c>
      <c r="M361" s="32" t="s">
        <v>30</v>
      </c>
      <c r="N361" s="40">
        <v>2016</v>
      </c>
      <c r="O361" s="32">
        <f>VLOOKUP(Data!N396, CPI!$A$2:$B$112, 2, 0)</f>
        <v>232.95699999999999</v>
      </c>
      <c r="P361" s="32" t="s">
        <v>238</v>
      </c>
      <c r="Q361" s="32" t="s">
        <v>239</v>
      </c>
      <c r="R361" s="32" t="s">
        <v>717</v>
      </c>
      <c r="S361" s="32">
        <v>7</v>
      </c>
      <c r="T361" s="32" t="s">
        <v>316</v>
      </c>
      <c r="U361" s="32">
        <v>7</v>
      </c>
      <c r="V361" s="32" t="s">
        <v>316</v>
      </c>
      <c r="X361" s="32">
        <f t="shared" si="18"/>
        <v>7</v>
      </c>
      <c r="Y361" s="32">
        <f>(CPI!$B$112/O361)*X361</f>
        <v>9.1550683173289507</v>
      </c>
      <c r="Z361" s="38" t="s">
        <v>262</v>
      </c>
      <c r="AA361" s="35" t="s">
        <v>2317</v>
      </c>
      <c r="AB361" s="32" t="s">
        <v>30</v>
      </c>
      <c r="AH361" s="32" t="s">
        <v>411</v>
      </c>
      <c r="AK361" s="40" t="s">
        <v>723</v>
      </c>
      <c r="AL361" s="32">
        <v>2018</v>
      </c>
      <c r="AM361" s="32" t="s">
        <v>724</v>
      </c>
      <c r="AN361" s="32" t="s">
        <v>725</v>
      </c>
      <c r="AO361" s="38" t="s">
        <v>726</v>
      </c>
      <c r="AP361" s="35" t="s">
        <v>396</v>
      </c>
    </row>
    <row r="362" spans="1:42" x14ac:dyDescent="0.2">
      <c r="A362" s="40">
        <v>38</v>
      </c>
      <c r="B362" s="40">
        <v>361</v>
      </c>
      <c r="C362" s="40" t="s">
        <v>114</v>
      </c>
      <c r="D362" s="38" t="s">
        <v>218</v>
      </c>
      <c r="E362" s="32" t="s">
        <v>2184</v>
      </c>
      <c r="F362" s="32" t="s">
        <v>131</v>
      </c>
      <c r="G362" s="38" t="s">
        <v>133</v>
      </c>
      <c r="H362" s="32" t="s">
        <v>151</v>
      </c>
      <c r="I362" s="32" t="s">
        <v>243</v>
      </c>
      <c r="J362" s="32" t="s">
        <v>645</v>
      </c>
      <c r="K362" s="32" t="s">
        <v>129</v>
      </c>
      <c r="L362" s="32" t="s">
        <v>30</v>
      </c>
      <c r="M362" s="32" t="s">
        <v>30</v>
      </c>
      <c r="N362" s="40">
        <v>2016</v>
      </c>
      <c r="O362" s="32">
        <f>VLOOKUP(Data!N397, CPI!$A$2:$B$112, 2, 0)</f>
        <v>232.95699999999999</v>
      </c>
      <c r="P362" s="32" t="s">
        <v>238</v>
      </c>
      <c r="Q362" s="32" t="s">
        <v>239</v>
      </c>
      <c r="R362" s="32" t="s">
        <v>718</v>
      </c>
      <c r="S362" s="32">
        <v>6</v>
      </c>
      <c r="T362" s="32" t="s">
        <v>316</v>
      </c>
      <c r="U362" s="32">
        <v>6</v>
      </c>
      <c r="V362" s="32" t="s">
        <v>316</v>
      </c>
      <c r="X362" s="32">
        <f t="shared" si="18"/>
        <v>6</v>
      </c>
      <c r="Y362" s="32">
        <f>(CPI!$B$112/O362)*X362</f>
        <v>7.8472014148533855</v>
      </c>
      <c r="Z362" s="38" t="s">
        <v>262</v>
      </c>
      <c r="AA362" s="35" t="s">
        <v>2317</v>
      </c>
      <c r="AB362" s="32" t="s">
        <v>30</v>
      </c>
      <c r="AH362" s="32" t="s">
        <v>411</v>
      </c>
      <c r="AK362" s="40" t="s">
        <v>723</v>
      </c>
      <c r="AL362" s="32">
        <v>2018</v>
      </c>
      <c r="AM362" s="32" t="s">
        <v>724</v>
      </c>
      <c r="AN362" s="32" t="s">
        <v>725</v>
      </c>
      <c r="AO362" s="38" t="s">
        <v>726</v>
      </c>
      <c r="AP362" s="35" t="s">
        <v>396</v>
      </c>
    </row>
    <row r="363" spans="1:42" x14ac:dyDescent="0.2">
      <c r="A363" s="40">
        <v>38</v>
      </c>
      <c r="B363" s="40">
        <v>362</v>
      </c>
      <c r="C363" s="40" t="s">
        <v>114</v>
      </c>
      <c r="D363" s="38" t="s">
        <v>218</v>
      </c>
      <c r="E363" s="32" t="s">
        <v>2184</v>
      </c>
      <c r="F363" s="32" t="s">
        <v>131</v>
      </c>
      <c r="G363" s="38" t="s">
        <v>133</v>
      </c>
      <c r="H363" s="32" t="s">
        <v>151</v>
      </c>
      <c r="I363" s="32" t="s">
        <v>243</v>
      </c>
      <c r="J363" s="32" t="s">
        <v>645</v>
      </c>
      <c r="K363" s="32" t="s">
        <v>129</v>
      </c>
      <c r="L363" s="32" t="s">
        <v>30</v>
      </c>
      <c r="M363" s="32" t="s">
        <v>30</v>
      </c>
      <c r="N363" s="40">
        <v>2016</v>
      </c>
      <c r="O363" s="32">
        <f>VLOOKUP(Data!N398, CPI!$A$2:$B$112, 2, 0)</f>
        <v>232.95699999999999</v>
      </c>
      <c r="P363" s="32" t="s">
        <v>238</v>
      </c>
      <c r="Q363" s="32" t="s">
        <v>239</v>
      </c>
      <c r="R363" s="32" t="s">
        <v>719</v>
      </c>
      <c r="S363" s="32">
        <v>5</v>
      </c>
      <c r="T363" s="32" t="s">
        <v>316</v>
      </c>
      <c r="U363" s="32">
        <v>5</v>
      </c>
      <c r="V363" s="32" t="s">
        <v>316</v>
      </c>
      <c r="X363" s="32">
        <f t="shared" si="18"/>
        <v>5</v>
      </c>
      <c r="Y363" s="32">
        <f>(CPI!$B$112/O363)*X363</f>
        <v>6.5393345123778213</v>
      </c>
      <c r="Z363" s="38" t="s">
        <v>262</v>
      </c>
      <c r="AA363" s="35" t="s">
        <v>2317</v>
      </c>
      <c r="AB363" s="32" t="s">
        <v>30</v>
      </c>
      <c r="AH363" s="32" t="s">
        <v>411</v>
      </c>
      <c r="AK363" s="40" t="s">
        <v>723</v>
      </c>
      <c r="AL363" s="32">
        <v>2018</v>
      </c>
      <c r="AM363" s="32" t="s">
        <v>724</v>
      </c>
      <c r="AN363" s="32" t="s">
        <v>725</v>
      </c>
      <c r="AO363" s="38" t="s">
        <v>726</v>
      </c>
      <c r="AP363" s="35" t="s">
        <v>396</v>
      </c>
    </row>
    <row r="364" spans="1:42" x14ac:dyDescent="0.2">
      <c r="A364" s="40">
        <v>38</v>
      </c>
      <c r="B364" s="40">
        <v>363</v>
      </c>
      <c r="C364" s="40" t="s">
        <v>114</v>
      </c>
      <c r="D364" s="38" t="s">
        <v>218</v>
      </c>
      <c r="E364" s="32" t="s">
        <v>2184</v>
      </c>
      <c r="F364" s="32" t="s">
        <v>131</v>
      </c>
      <c r="G364" s="38" t="s">
        <v>133</v>
      </c>
      <c r="H364" s="32" t="s">
        <v>151</v>
      </c>
      <c r="I364" s="32" t="s">
        <v>243</v>
      </c>
      <c r="J364" s="32" t="s">
        <v>645</v>
      </c>
      <c r="K364" s="32" t="s">
        <v>129</v>
      </c>
      <c r="L364" s="32" t="s">
        <v>30</v>
      </c>
      <c r="M364" s="32" t="s">
        <v>30</v>
      </c>
      <c r="N364" s="40">
        <v>2016</v>
      </c>
      <c r="O364" s="32">
        <f>VLOOKUP(Data!N399, CPI!$A$2:$B$112, 2, 0)</f>
        <v>236.73599999999999</v>
      </c>
      <c r="P364" s="32" t="s">
        <v>238</v>
      </c>
      <c r="Q364" s="32" t="s">
        <v>239</v>
      </c>
      <c r="R364" s="32" t="s">
        <v>720</v>
      </c>
      <c r="S364" s="32">
        <v>4</v>
      </c>
      <c r="T364" s="32" t="s">
        <v>316</v>
      </c>
      <c r="U364" s="32">
        <v>4</v>
      </c>
      <c r="V364" s="32" t="s">
        <v>316</v>
      </c>
      <c r="X364" s="32">
        <f t="shared" si="18"/>
        <v>4</v>
      </c>
      <c r="Y364" s="32">
        <f>(CPI!$B$112/O364)*X364</f>
        <v>5.1479580629899981</v>
      </c>
      <c r="Z364" s="38" t="s">
        <v>262</v>
      </c>
      <c r="AA364" s="35" t="s">
        <v>2317</v>
      </c>
      <c r="AB364" s="32" t="s">
        <v>30</v>
      </c>
      <c r="AH364" s="32" t="s">
        <v>411</v>
      </c>
      <c r="AK364" s="40" t="s">
        <v>723</v>
      </c>
      <c r="AL364" s="32">
        <v>2018</v>
      </c>
      <c r="AM364" s="32" t="s">
        <v>724</v>
      </c>
      <c r="AN364" s="32" t="s">
        <v>725</v>
      </c>
      <c r="AO364" s="38" t="s">
        <v>726</v>
      </c>
      <c r="AP364" s="35" t="s">
        <v>396</v>
      </c>
    </row>
    <row r="365" spans="1:42" x14ac:dyDescent="0.2">
      <c r="A365" s="40">
        <v>38</v>
      </c>
      <c r="B365" s="40">
        <v>364</v>
      </c>
      <c r="C365" s="40" t="s">
        <v>114</v>
      </c>
      <c r="D365" s="38" t="s">
        <v>218</v>
      </c>
      <c r="E365" s="32" t="s">
        <v>2887</v>
      </c>
      <c r="F365" s="32" t="s">
        <v>121</v>
      </c>
      <c r="G365" s="38" t="s">
        <v>123</v>
      </c>
      <c r="H365" s="32" t="s">
        <v>151</v>
      </c>
      <c r="I365" s="32" t="s">
        <v>243</v>
      </c>
      <c r="J365" s="32" t="s">
        <v>645</v>
      </c>
      <c r="K365" s="32" t="s">
        <v>129</v>
      </c>
      <c r="L365" s="32" t="s">
        <v>30</v>
      </c>
      <c r="M365" s="32" t="s">
        <v>30</v>
      </c>
      <c r="N365" s="40">
        <v>2016</v>
      </c>
      <c r="O365" s="32">
        <f>VLOOKUP(Data!N400, CPI!$A$2:$B$112, 2, 0)</f>
        <v>237.017</v>
      </c>
      <c r="P365" s="32" t="s">
        <v>238</v>
      </c>
      <c r="Q365" s="32" t="s">
        <v>239</v>
      </c>
      <c r="R365" s="32" t="s">
        <v>721</v>
      </c>
      <c r="S365" s="32">
        <v>24</v>
      </c>
      <c r="T365" s="32" t="s">
        <v>316</v>
      </c>
      <c r="U365" s="32">
        <v>24</v>
      </c>
      <c r="V365" s="32" t="s">
        <v>316</v>
      </c>
      <c r="X365" s="32">
        <f t="shared" si="18"/>
        <v>24</v>
      </c>
      <c r="Y365" s="32">
        <f>(CPI!$B$112/O365)*X365</f>
        <v>30.851128821983238</v>
      </c>
      <c r="Z365" s="38" t="s">
        <v>262</v>
      </c>
      <c r="AA365" s="35" t="s">
        <v>2318</v>
      </c>
      <c r="AB365" s="32" t="s">
        <v>30</v>
      </c>
      <c r="AH365" s="32" t="s">
        <v>411</v>
      </c>
      <c r="AK365" s="40" t="s">
        <v>723</v>
      </c>
      <c r="AL365" s="32">
        <v>2018</v>
      </c>
      <c r="AM365" s="32" t="s">
        <v>724</v>
      </c>
      <c r="AN365" s="32" t="s">
        <v>725</v>
      </c>
      <c r="AO365" s="38" t="s">
        <v>726</v>
      </c>
      <c r="AP365" s="35" t="s">
        <v>396</v>
      </c>
    </row>
    <row r="366" spans="1:42" x14ac:dyDescent="0.2">
      <c r="A366" s="40">
        <v>38</v>
      </c>
      <c r="B366" s="40">
        <v>365</v>
      </c>
      <c r="C366" s="40" t="s">
        <v>114</v>
      </c>
      <c r="D366" s="38" t="s">
        <v>218</v>
      </c>
      <c r="E366" s="32" t="s">
        <v>2887</v>
      </c>
      <c r="F366" s="32" t="s">
        <v>121</v>
      </c>
      <c r="G366" s="38" t="s">
        <v>123</v>
      </c>
      <c r="H366" s="32" t="s">
        <v>151</v>
      </c>
      <c r="I366" s="32" t="s">
        <v>243</v>
      </c>
      <c r="J366" s="32" t="s">
        <v>645</v>
      </c>
      <c r="K366" s="32" t="s">
        <v>129</v>
      </c>
      <c r="L366" s="32" t="s">
        <v>30</v>
      </c>
      <c r="M366" s="32" t="s">
        <v>30</v>
      </c>
      <c r="N366" s="40">
        <v>2016</v>
      </c>
      <c r="O366" s="32">
        <f>VLOOKUP(Data!N401, CPI!$A$2:$B$112, 2, 0)</f>
        <v>240.00700000000001</v>
      </c>
      <c r="P366" s="32" t="s">
        <v>238</v>
      </c>
      <c r="Q366" s="32" t="s">
        <v>239</v>
      </c>
      <c r="R366" s="32" t="s">
        <v>722</v>
      </c>
      <c r="S366" s="32">
        <v>50</v>
      </c>
      <c r="T366" s="32" t="s">
        <v>316</v>
      </c>
      <c r="U366" s="32">
        <v>50</v>
      </c>
      <c r="V366" s="32" t="s">
        <v>316</v>
      </c>
      <c r="X366" s="32">
        <f t="shared" si="18"/>
        <v>50</v>
      </c>
      <c r="Y366" s="32">
        <f>(CPI!$B$112/O366)*X366</f>
        <v>63.472471636243945</v>
      </c>
      <c r="Z366" s="38" t="s">
        <v>262</v>
      </c>
      <c r="AA366" s="35" t="s">
        <v>2318</v>
      </c>
      <c r="AB366" s="32" t="s">
        <v>30</v>
      </c>
      <c r="AH366" s="32" t="s">
        <v>411</v>
      </c>
      <c r="AK366" s="40" t="s">
        <v>723</v>
      </c>
      <c r="AL366" s="32">
        <v>2018</v>
      </c>
      <c r="AM366" s="32" t="s">
        <v>724</v>
      </c>
      <c r="AN366" s="32" t="s">
        <v>725</v>
      </c>
      <c r="AO366" s="38" t="s">
        <v>726</v>
      </c>
      <c r="AP366" s="35" t="s">
        <v>396</v>
      </c>
    </row>
    <row r="367" spans="1:42" x14ac:dyDescent="0.2">
      <c r="A367" s="40">
        <v>39</v>
      </c>
      <c r="B367" s="40">
        <v>366</v>
      </c>
      <c r="C367" s="40" t="s">
        <v>119</v>
      </c>
      <c r="D367" s="38" t="s">
        <v>128</v>
      </c>
      <c r="E367" s="32" t="s">
        <v>2184</v>
      </c>
      <c r="F367" s="32" t="s">
        <v>131</v>
      </c>
      <c r="G367" s="38" t="s">
        <v>133</v>
      </c>
      <c r="H367" s="32" t="s">
        <v>115</v>
      </c>
      <c r="I367" s="32" t="s">
        <v>243</v>
      </c>
      <c r="J367" s="32" t="s">
        <v>261</v>
      </c>
      <c r="K367" s="32" t="s">
        <v>129</v>
      </c>
      <c r="L367" s="32" t="s">
        <v>728</v>
      </c>
      <c r="M367" s="32" t="s">
        <v>729</v>
      </c>
      <c r="N367" s="40">
        <v>2016</v>
      </c>
      <c r="O367" s="32">
        <f>VLOOKUP(Data!N402, CPI!$A$2:$B$112, 2, 0)</f>
        <v>245.12</v>
      </c>
      <c r="P367" s="32" t="s">
        <v>238</v>
      </c>
      <c r="Q367" s="32" t="s">
        <v>239</v>
      </c>
      <c r="R367" s="32" t="s">
        <v>727</v>
      </c>
      <c r="S367" s="32">
        <v>5010</v>
      </c>
      <c r="T367" s="32" t="s">
        <v>316</v>
      </c>
      <c r="U367" s="32">
        <v>5010</v>
      </c>
      <c r="V367" s="32" t="s">
        <v>316</v>
      </c>
      <c r="X367" s="32">
        <f t="shared" si="18"/>
        <v>5010</v>
      </c>
      <c r="Y367" s="32">
        <f>(CPI!$B$112/O367)*X367</f>
        <v>6227.2785472421674</v>
      </c>
      <c r="Z367" s="38" t="s">
        <v>262</v>
      </c>
      <c r="AA367" s="35" t="s">
        <v>2319</v>
      </c>
      <c r="AB367" s="32">
        <v>12070</v>
      </c>
      <c r="AC367" s="32" t="s">
        <v>2321</v>
      </c>
      <c r="AH367" s="32" t="s">
        <v>411</v>
      </c>
      <c r="AI367" s="32" t="s">
        <v>727</v>
      </c>
      <c r="AK367" s="40" t="s">
        <v>730</v>
      </c>
      <c r="AL367" s="32">
        <v>2011</v>
      </c>
      <c r="AM367" s="32" t="s">
        <v>731</v>
      </c>
      <c r="AN367" s="32" t="s">
        <v>732</v>
      </c>
      <c r="AP367" s="35" t="s">
        <v>396</v>
      </c>
    </row>
    <row r="368" spans="1:42" x14ac:dyDescent="0.2">
      <c r="A368" s="40">
        <v>39</v>
      </c>
      <c r="B368" s="40">
        <v>367</v>
      </c>
      <c r="C368" s="40" t="s">
        <v>119</v>
      </c>
      <c r="D368" s="38" t="s">
        <v>128</v>
      </c>
      <c r="E368" s="32" t="s">
        <v>2184</v>
      </c>
      <c r="F368" s="32" t="s">
        <v>131</v>
      </c>
      <c r="G368" s="38" t="s">
        <v>133</v>
      </c>
      <c r="H368" s="32" t="s">
        <v>115</v>
      </c>
      <c r="I368" s="32" t="s">
        <v>243</v>
      </c>
      <c r="J368" s="32" t="s">
        <v>261</v>
      </c>
      <c r="K368" s="32" t="s">
        <v>129</v>
      </c>
      <c r="L368" s="32" t="s">
        <v>728</v>
      </c>
      <c r="M368" s="32" t="s">
        <v>729</v>
      </c>
      <c r="N368" s="40">
        <v>2016</v>
      </c>
      <c r="O368" s="32">
        <f>VLOOKUP(Data!N403, CPI!$A$2:$B$112, 2, 0)</f>
        <v>251.107</v>
      </c>
      <c r="P368" s="32" t="s">
        <v>238</v>
      </c>
      <c r="Q368" s="32" t="s">
        <v>239</v>
      </c>
      <c r="R368" s="32" t="s">
        <v>727</v>
      </c>
      <c r="S368" s="32">
        <v>3045</v>
      </c>
      <c r="T368" s="32" t="s">
        <v>316</v>
      </c>
      <c r="U368" s="32">
        <v>3045</v>
      </c>
      <c r="V368" s="32" t="s">
        <v>316</v>
      </c>
      <c r="X368" s="32">
        <f t="shared" si="18"/>
        <v>3045</v>
      </c>
      <c r="Y368" s="32">
        <f>(CPI!$B$112/O368)*X368</f>
        <v>3694.6031124182127</v>
      </c>
      <c r="Z368" s="38" t="s">
        <v>262</v>
      </c>
      <c r="AA368" s="35" t="s">
        <v>2320</v>
      </c>
      <c r="AB368" s="32">
        <v>6600</v>
      </c>
      <c r="AC368" s="32" t="s">
        <v>2321</v>
      </c>
      <c r="AH368" s="32" t="s">
        <v>411</v>
      </c>
      <c r="AK368" s="40" t="s">
        <v>730</v>
      </c>
      <c r="AL368" s="32">
        <v>2011</v>
      </c>
      <c r="AM368" s="32" t="s">
        <v>731</v>
      </c>
      <c r="AN368" s="32" t="s">
        <v>732</v>
      </c>
      <c r="AP368" s="35" t="s">
        <v>396</v>
      </c>
    </row>
    <row r="369" spans="1:42" x14ac:dyDescent="0.2">
      <c r="A369" s="40">
        <v>40</v>
      </c>
      <c r="B369" s="40">
        <v>368</v>
      </c>
      <c r="C369" s="40" t="s">
        <v>119</v>
      </c>
      <c r="D369" s="38" t="s">
        <v>128</v>
      </c>
      <c r="E369" s="32" t="s">
        <v>2186</v>
      </c>
      <c r="F369" s="32" t="s">
        <v>29</v>
      </c>
      <c r="G369" s="38" t="s">
        <v>29</v>
      </c>
      <c r="H369" s="32" t="s">
        <v>30</v>
      </c>
      <c r="I369" s="32" t="s">
        <v>243</v>
      </c>
      <c r="J369" s="32" t="s">
        <v>746</v>
      </c>
      <c r="K369" s="32" t="s">
        <v>129</v>
      </c>
      <c r="L369" s="32" t="s">
        <v>30</v>
      </c>
      <c r="M369" s="32" t="s">
        <v>30</v>
      </c>
      <c r="N369" s="40">
        <v>2010</v>
      </c>
      <c r="O369" s="32">
        <f>VLOOKUP(Data!N29, CPI!$A$2:$B$112, 2, 0)</f>
        <v>195.3</v>
      </c>
      <c r="P369" s="32" t="s">
        <v>238</v>
      </c>
      <c r="Q369" s="32" t="s">
        <v>239</v>
      </c>
      <c r="R369" s="32" t="s">
        <v>733</v>
      </c>
      <c r="S369" s="32">
        <v>45000000</v>
      </c>
      <c r="T369" s="32" t="s">
        <v>735</v>
      </c>
      <c r="U369" s="32">
        <f>S369/AB369</f>
        <v>6355.9322033898306</v>
      </c>
      <c r="V369" s="32" t="s">
        <v>2211</v>
      </c>
      <c r="W369" s="32">
        <f>VLOOKUP(N369, 'Exchange rate-Kenya'!$A$3:$B$65, 2, 0)</f>
        <v>79.233151704545506</v>
      </c>
      <c r="X369" s="32">
        <f t="shared" ref="X369:X379" si="19">U369/W369</f>
        <v>80.2180913753201</v>
      </c>
      <c r="Y369" s="32">
        <f>(CPI!$B$112/O369)*X369</f>
        <v>125.14381654600899</v>
      </c>
      <c r="Z369" s="38" t="s">
        <v>303</v>
      </c>
      <c r="AA369" s="35" t="s">
        <v>2322</v>
      </c>
      <c r="AB369" s="32">
        <v>7080</v>
      </c>
      <c r="AC369" s="32" t="s">
        <v>1447</v>
      </c>
      <c r="AG369">
        <v>78.953315724637505</v>
      </c>
      <c r="AH369" s="32" t="s">
        <v>411</v>
      </c>
      <c r="AJ369" s="35" t="s">
        <v>2310</v>
      </c>
      <c r="AK369" s="40" t="s">
        <v>747</v>
      </c>
      <c r="AL369" s="32">
        <v>2010</v>
      </c>
      <c r="AM369" s="32" t="s">
        <v>748</v>
      </c>
      <c r="AN369" s="32" t="s">
        <v>749</v>
      </c>
      <c r="AP369" s="35" t="s">
        <v>396</v>
      </c>
    </row>
    <row r="370" spans="1:42" x14ac:dyDescent="0.2">
      <c r="A370" s="40">
        <v>40</v>
      </c>
      <c r="B370" s="40">
        <v>369</v>
      </c>
      <c r="C370" s="40" t="s">
        <v>119</v>
      </c>
      <c r="D370" s="38" t="s">
        <v>128</v>
      </c>
      <c r="E370" s="32" t="s">
        <v>2183</v>
      </c>
      <c r="F370" s="32" t="s">
        <v>126</v>
      </c>
      <c r="G370" s="38" t="s">
        <v>153</v>
      </c>
      <c r="H370" s="32" t="s">
        <v>30</v>
      </c>
      <c r="I370" s="32" t="s">
        <v>243</v>
      </c>
      <c r="J370" s="32" t="s">
        <v>746</v>
      </c>
      <c r="K370" s="32" t="s">
        <v>129</v>
      </c>
      <c r="L370" s="32" t="s">
        <v>30</v>
      </c>
      <c r="M370" s="32" t="s">
        <v>30</v>
      </c>
      <c r="N370" s="40">
        <v>2010</v>
      </c>
      <c r="O370" s="32">
        <f>VLOOKUP(Data!N30, CPI!$A$2:$B$112, 2, 0)</f>
        <v>195.3</v>
      </c>
      <c r="P370" s="32" t="s">
        <v>238</v>
      </c>
      <c r="Q370" s="32" t="s">
        <v>134</v>
      </c>
      <c r="R370" s="32" t="s">
        <v>2324</v>
      </c>
      <c r="S370" s="32">
        <v>13900000</v>
      </c>
      <c r="T370" s="32" t="s">
        <v>305</v>
      </c>
      <c r="U370" s="32">
        <f>S370/AB370</f>
        <v>1963.2768361581921</v>
      </c>
      <c r="V370" s="32" t="s">
        <v>2211</v>
      </c>
      <c r="W370" s="32">
        <f>VLOOKUP(N370, 'Exchange rate-Kenya'!$A$3:$B$65, 2, 0)</f>
        <v>79.233151704545506</v>
      </c>
      <c r="X370" s="32">
        <f t="shared" si="19"/>
        <v>24.778477113709986</v>
      </c>
      <c r="Y370" s="32">
        <f>(CPI!$B$112/O370)*X370</f>
        <v>38.655534444211668</v>
      </c>
      <c r="Z370" s="38" t="s">
        <v>303</v>
      </c>
      <c r="AA370" s="35" t="s">
        <v>2322</v>
      </c>
      <c r="AB370" s="32">
        <v>7080</v>
      </c>
      <c r="AC370" s="32" t="s">
        <v>1447</v>
      </c>
      <c r="AG370">
        <v>611.64608695652203</v>
      </c>
      <c r="AH370" s="32" t="s">
        <v>411</v>
      </c>
      <c r="AJ370" s="35" t="s">
        <v>2310</v>
      </c>
      <c r="AK370" s="40" t="s">
        <v>747</v>
      </c>
      <c r="AL370" s="32">
        <v>2010</v>
      </c>
      <c r="AM370" s="32" t="s">
        <v>748</v>
      </c>
      <c r="AN370" s="32" t="s">
        <v>749</v>
      </c>
      <c r="AP370" s="35" t="s">
        <v>396</v>
      </c>
    </row>
    <row r="371" spans="1:42" x14ac:dyDescent="0.2">
      <c r="A371" s="40">
        <v>40</v>
      </c>
      <c r="B371" s="40">
        <v>370</v>
      </c>
      <c r="C371" s="40" t="s">
        <v>119</v>
      </c>
      <c r="D371" s="38" t="s">
        <v>128</v>
      </c>
      <c r="E371" s="32" t="s">
        <v>2183</v>
      </c>
      <c r="F371" s="32" t="s">
        <v>126</v>
      </c>
      <c r="G371" s="38" t="s">
        <v>127</v>
      </c>
      <c r="H371" s="32" t="s">
        <v>30</v>
      </c>
      <c r="I371" s="32" t="s">
        <v>243</v>
      </c>
      <c r="J371" s="32" t="s">
        <v>746</v>
      </c>
      <c r="K371" s="32" t="s">
        <v>129</v>
      </c>
      <c r="L371" s="32" t="s">
        <v>30</v>
      </c>
      <c r="M371" s="32" t="s">
        <v>30</v>
      </c>
      <c r="N371" s="40">
        <v>2010</v>
      </c>
      <c r="O371" s="32">
        <f>VLOOKUP(Data!N31, CPI!$A$2:$B$112, 2, 0)</f>
        <v>195.3</v>
      </c>
      <c r="P371" s="32" t="s">
        <v>238</v>
      </c>
      <c r="Q371" s="32" t="s">
        <v>134</v>
      </c>
      <c r="R371" s="32" t="s">
        <v>736</v>
      </c>
      <c r="S371" s="32">
        <v>2700000</v>
      </c>
      <c r="T371" s="32" t="s">
        <v>305</v>
      </c>
      <c r="U371" s="32">
        <f>S371/AB371</f>
        <v>381.35593220338984</v>
      </c>
      <c r="V371" s="32" t="s">
        <v>2211</v>
      </c>
      <c r="W371" s="32">
        <f>VLOOKUP(N371, 'Exchange rate-Kenya'!$A$3:$B$65, 2, 0)</f>
        <v>79.233151704545506</v>
      </c>
      <c r="X371" s="32">
        <f t="shared" si="19"/>
        <v>4.813085482519206</v>
      </c>
      <c r="Y371" s="32">
        <f>(CPI!$B$112/O371)*X371</f>
        <v>7.5086289927605394</v>
      </c>
      <c r="Z371" s="38" t="s">
        <v>303</v>
      </c>
      <c r="AA371" s="35" t="s">
        <v>2323</v>
      </c>
      <c r="AB371" s="32">
        <v>7080</v>
      </c>
      <c r="AC371" s="32" t="s">
        <v>1447</v>
      </c>
      <c r="AG371">
        <v>4501.6865290896703</v>
      </c>
      <c r="AH371" s="32" t="s">
        <v>411</v>
      </c>
      <c r="AJ371" s="35" t="s">
        <v>2310</v>
      </c>
      <c r="AK371" s="40" t="s">
        <v>747</v>
      </c>
      <c r="AL371" s="32">
        <v>2010</v>
      </c>
      <c r="AM371" s="32" t="s">
        <v>748</v>
      </c>
      <c r="AN371" s="32" t="s">
        <v>749</v>
      </c>
      <c r="AP371" s="35" t="s">
        <v>396</v>
      </c>
    </row>
    <row r="372" spans="1:42" x14ac:dyDescent="0.2">
      <c r="A372" s="40">
        <v>40</v>
      </c>
      <c r="B372" s="40">
        <v>371</v>
      </c>
      <c r="C372" s="40" t="s">
        <v>119</v>
      </c>
      <c r="D372" s="38" t="s">
        <v>128</v>
      </c>
      <c r="E372" s="32" t="s">
        <v>2183</v>
      </c>
      <c r="F372" s="32" t="s">
        <v>126</v>
      </c>
      <c r="G372" s="38" t="s">
        <v>152</v>
      </c>
      <c r="H372" s="32" t="s">
        <v>30</v>
      </c>
      <c r="I372" s="32" t="s">
        <v>243</v>
      </c>
      <c r="J372" s="32" t="s">
        <v>746</v>
      </c>
      <c r="K372" s="32" t="s">
        <v>129</v>
      </c>
      <c r="L372" s="32" t="s">
        <v>30</v>
      </c>
      <c r="M372" s="32" t="s">
        <v>30</v>
      </c>
      <c r="N372" s="40">
        <v>2010</v>
      </c>
      <c r="O372" s="32">
        <f>VLOOKUP(Data!N32, CPI!$A$2:$B$112, 2, 0)</f>
        <v>195.3</v>
      </c>
      <c r="P372" s="32" t="s">
        <v>238</v>
      </c>
      <c r="Q372" s="32" t="s">
        <v>134</v>
      </c>
      <c r="R372" s="32" t="s">
        <v>737</v>
      </c>
      <c r="S372" s="32">
        <v>15000000</v>
      </c>
      <c r="T372" s="32" t="s">
        <v>305</v>
      </c>
      <c r="U372" s="32">
        <f>S372/AB372</f>
        <v>2118.6440677966102</v>
      </c>
      <c r="V372" s="32" t="s">
        <v>2211</v>
      </c>
      <c r="W372" s="32">
        <f>VLOOKUP(N372, 'Exchange rate-Kenya'!$A$3:$B$65, 2, 0)</f>
        <v>79.233151704545506</v>
      </c>
      <c r="X372" s="32">
        <f t="shared" si="19"/>
        <v>26.739363791773364</v>
      </c>
      <c r="Y372" s="32">
        <f>(CPI!$B$112/O372)*X372</f>
        <v>41.714605515336331</v>
      </c>
      <c r="Z372" s="38" t="s">
        <v>303</v>
      </c>
      <c r="AA372" s="35" t="s">
        <v>2323</v>
      </c>
      <c r="AB372" s="32">
        <v>7080</v>
      </c>
      <c r="AC372" s="32" t="s">
        <v>1447</v>
      </c>
      <c r="AG372">
        <v>6537.6046856884004</v>
      </c>
      <c r="AH372" s="32" t="s">
        <v>411</v>
      </c>
      <c r="AJ372" s="35" t="s">
        <v>2310</v>
      </c>
      <c r="AK372" s="40" t="s">
        <v>747</v>
      </c>
      <c r="AL372" s="32">
        <v>2010</v>
      </c>
      <c r="AM372" s="32" t="s">
        <v>748</v>
      </c>
      <c r="AN372" s="32" t="s">
        <v>749</v>
      </c>
      <c r="AP372" s="35" t="s">
        <v>396</v>
      </c>
    </row>
    <row r="373" spans="1:42" x14ac:dyDescent="0.2">
      <c r="A373" s="40">
        <v>40</v>
      </c>
      <c r="B373" s="40">
        <v>372</v>
      </c>
      <c r="C373" s="40" t="s">
        <v>119</v>
      </c>
      <c r="D373" s="38" t="s">
        <v>128</v>
      </c>
      <c r="E373" s="32" t="s">
        <v>2184</v>
      </c>
      <c r="F373" s="32" t="s">
        <v>131</v>
      </c>
      <c r="G373" s="38" t="s">
        <v>133</v>
      </c>
      <c r="H373" s="32" t="s">
        <v>30</v>
      </c>
      <c r="I373" s="32" t="s">
        <v>243</v>
      </c>
      <c r="J373" s="32" t="s">
        <v>746</v>
      </c>
      <c r="K373" s="32" t="s">
        <v>129</v>
      </c>
      <c r="L373" s="32" t="s">
        <v>30</v>
      </c>
      <c r="M373" s="32" t="s">
        <v>30</v>
      </c>
      <c r="N373" s="40">
        <v>2010</v>
      </c>
      <c r="O373" s="32">
        <f>VLOOKUP(Data!N33, CPI!$A$2:$B$112, 2, 0)</f>
        <v>195.3</v>
      </c>
      <c r="P373" s="32" t="s">
        <v>238</v>
      </c>
      <c r="Q373" s="32" t="s">
        <v>134</v>
      </c>
      <c r="R373" s="32" t="s">
        <v>2326</v>
      </c>
      <c r="S373" s="32">
        <v>23000000</v>
      </c>
      <c r="T373" s="32" t="s">
        <v>305</v>
      </c>
      <c r="U373" s="32">
        <f>S373/AB373</f>
        <v>3248.5875706214688</v>
      </c>
      <c r="V373" s="32" t="s">
        <v>2211</v>
      </c>
      <c r="W373" s="32">
        <f>VLOOKUP(N373, 'Exchange rate-Kenya'!$A$3:$B$65, 2, 0)</f>
        <v>79.233151704545506</v>
      </c>
      <c r="X373" s="32">
        <f t="shared" si="19"/>
        <v>41.000357814052492</v>
      </c>
      <c r="Y373" s="32">
        <f>(CPI!$B$112/O373)*X373</f>
        <v>63.962395123515705</v>
      </c>
      <c r="Z373" s="38" t="s">
        <v>303</v>
      </c>
      <c r="AA373" s="35" t="s">
        <v>2323</v>
      </c>
      <c r="AB373" s="32">
        <v>7080</v>
      </c>
      <c r="AC373" s="32" t="s">
        <v>1447</v>
      </c>
      <c r="AG373">
        <v>10121.8932306763</v>
      </c>
      <c r="AH373" s="32" t="s">
        <v>411</v>
      </c>
      <c r="AJ373" s="35" t="s">
        <v>2310</v>
      </c>
      <c r="AK373" s="40" t="s">
        <v>747</v>
      </c>
      <c r="AL373" s="32">
        <v>2010</v>
      </c>
      <c r="AM373" s="32" t="s">
        <v>748</v>
      </c>
      <c r="AN373" s="32" t="s">
        <v>749</v>
      </c>
      <c r="AP373" s="35" t="s">
        <v>396</v>
      </c>
    </row>
    <row r="374" spans="1:42" x14ac:dyDescent="0.2">
      <c r="A374" s="40">
        <v>40</v>
      </c>
      <c r="B374" s="40">
        <v>373</v>
      </c>
      <c r="C374" s="40" t="s">
        <v>119</v>
      </c>
      <c r="D374" s="38" t="s">
        <v>128</v>
      </c>
      <c r="E374" s="32" t="s">
        <v>2184</v>
      </c>
      <c r="F374" s="32" t="s">
        <v>145</v>
      </c>
      <c r="G374" s="38" t="s">
        <v>146</v>
      </c>
      <c r="H374" s="32" t="s">
        <v>30</v>
      </c>
      <c r="I374" s="32" t="s">
        <v>243</v>
      </c>
      <c r="J374" s="32" t="s">
        <v>746</v>
      </c>
      <c r="K374" s="32" t="s">
        <v>129</v>
      </c>
      <c r="L374" s="32" t="s">
        <v>30</v>
      </c>
      <c r="M374" s="32" t="s">
        <v>30</v>
      </c>
      <c r="N374" s="40">
        <v>2010</v>
      </c>
      <c r="O374" s="32">
        <f>VLOOKUP(Data!N34, CPI!$A$2:$B$112, 2, 0)</f>
        <v>195.3</v>
      </c>
      <c r="P374" s="32" t="s">
        <v>238</v>
      </c>
      <c r="Q374" s="32" t="s">
        <v>134</v>
      </c>
      <c r="R374" s="32" t="s">
        <v>738</v>
      </c>
      <c r="S374" s="32">
        <v>12528</v>
      </c>
      <c r="T374" s="32" t="s">
        <v>2211</v>
      </c>
      <c r="U374" s="32">
        <v>12528</v>
      </c>
      <c r="V374" s="32" t="s">
        <v>2211</v>
      </c>
      <c r="W374" s="32">
        <f>VLOOKUP(N374, 'Exchange rate-Kenya'!$A$3:$B$65, 2, 0)</f>
        <v>79.233151704545506</v>
      </c>
      <c r="X374" s="32">
        <f t="shared" si="19"/>
        <v>158.11563380333493</v>
      </c>
      <c r="Y374" s="32">
        <f>(CPI!$B$112/O374)*X374</f>
        <v>246.66747276697504</v>
      </c>
      <c r="Z374" s="38" t="s">
        <v>303</v>
      </c>
      <c r="AA374" s="35" t="s">
        <v>2323</v>
      </c>
      <c r="AB374" s="32">
        <v>7080</v>
      </c>
      <c r="AC374" s="32" t="s">
        <v>1447</v>
      </c>
      <c r="AG374">
        <v>11202.1916666667</v>
      </c>
      <c r="AH374" s="32" t="s">
        <v>411</v>
      </c>
      <c r="AK374" s="40" t="s">
        <v>747</v>
      </c>
      <c r="AL374" s="32">
        <v>2010</v>
      </c>
      <c r="AM374" s="32" t="s">
        <v>748</v>
      </c>
      <c r="AN374" s="32" t="s">
        <v>749</v>
      </c>
      <c r="AP374" s="35" t="s">
        <v>396</v>
      </c>
    </row>
    <row r="375" spans="1:42" x14ac:dyDescent="0.2">
      <c r="A375" s="40">
        <v>40</v>
      </c>
      <c r="B375" s="40">
        <v>374</v>
      </c>
      <c r="C375" s="40" t="s">
        <v>119</v>
      </c>
      <c r="D375" s="38" t="s">
        <v>128</v>
      </c>
      <c r="E375" s="32" t="s">
        <v>2185</v>
      </c>
      <c r="F375" s="32" t="s">
        <v>2894</v>
      </c>
      <c r="G375" s="38" t="s">
        <v>142</v>
      </c>
      <c r="H375" s="32" t="s">
        <v>30</v>
      </c>
      <c r="I375" s="32" t="s">
        <v>243</v>
      </c>
      <c r="J375" s="32" t="s">
        <v>746</v>
      </c>
      <c r="K375" s="32" t="s">
        <v>129</v>
      </c>
      <c r="L375" s="32" t="s">
        <v>30</v>
      </c>
      <c r="M375" s="32" t="s">
        <v>30</v>
      </c>
      <c r="N375" s="40">
        <v>2010</v>
      </c>
      <c r="O375" s="32">
        <f>VLOOKUP(Data!N35, CPI!$A$2:$B$112, 2, 0)</f>
        <v>195.3</v>
      </c>
      <c r="P375" s="32" t="s">
        <v>238</v>
      </c>
      <c r="Q375" s="32" t="s">
        <v>239</v>
      </c>
      <c r="R375" s="32" t="s">
        <v>739</v>
      </c>
      <c r="S375" s="32">
        <v>3500000</v>
      </c>
      <c r="T375" s="32" t="s">
        <v>305</v>
      </c>
      <c r="U375" s="32">
        <f>S375/AB375</f>
        <v>494.35028248587571</v>
      </c>
      <c r="V375" s="32" t="s">
        <v>2211</v>
      </c>
      <c r="W375" s="32">
        <f>VLOOKUP(N375, 'Exchange rate-Kenya'!$A$3:$B$65, 2, 0)</f>
        <v>79.233151704545506</v>
      </c>
      <c r="X375" s="32">
        <f t="shared" si="19"/>
        <v>6.239184884747119</v>
      </c>
      <c r="Y375" s="32">
        <f>(CPI!$B$112/O375)*X375</f>
        <v>9.7334079535784781</v>
      </c>
      <c r="Z375" s="38" t="s">
        <v>303</v>
      </c>
      <c r="AA375" s="35" t="s">
        <v>2323</v>
      </c>
      <c r="AB375" s="32">
        <v>7080</v>
      </c>
      <c r="AC375" s="32" t="s">
        <v>1447</v>
      </c>
      <c r="AG375">
        <v>10640.958333333299</v>
      </c>
      <c r="AH375" s="32" t="s">
        <v>411</v>
      </c>
      <c r="AJ375" s="35" t="s">
        <v>2310</v>
      </c>
      <c r="AK375" s="40" t="s">
        <v>747</v>
      </c>
      <c r="AL375" s="32">
        <v>2010</v>
      </c>
      <c r="AM375" s="32" t="s">
        <v>748</v>
      </c>
      <c r="AN375" s="32" t="s">
        <v>749</v>
      </c>
      <c r="AP375" s="35" t="s">
        <v>396</v>
      </c>
    </row>
    <row r="376" spans="1:42" x14ac:dyDescent="0.2">
      <c r="A376" s="40">
        <v>40</v>
      </c>
      <c r="B376" s="40">
        <v>375</v>
      </c>
      <c r="C376" s="40" t="s">
        <v>119</v>
      </c>
      <c r="D376" s="38" t="s">
        <v>128</v>
      </c>
      <c r="E376" s="32" t="s">
        <v>2183</v>
      </c>
      <c r="F376" s="32" t="s">
        <v>237</v>
      </c>
      <c r="G376" s="38" t="s">
        <v>117</v>
      </c>
      <c r="H376" s="32" t="s">
        <v>30</v>
      </c>
      <c r="I376" s="32" t="s">
        <v>243</v>
      </c>
      <c r="J376" s="32" t="s">
        <v>746</v>
      </c>
      <c r="K376" s="32" t="s">
        <v>129</v>
      </c>
      <c r="L376" s="32" t="s">
        <v>30</v>
      </c>
      <c r="M376" s="32" t="s">
        <v>30</v>
      </c>
      <c r="N376" s="40">
        <v>2006</v>
      </c>
      <c r="O376" s="32">
        <f>VLOOKUP(Data!N36, CPI!$A$2:$B$112, 2, 0)</f>
        <v>195.3</v>
      </c>
      <c r="P376" s="32" t="s">
        <v>238</v>
      </c>
      <c r="Q376" s="32" t="s">
        <v>134</v>
      </c>
      <c r="R376" s="32" t="s">
        <v>740</v>
      </c>
      <c r="S376" s="32">
        <v>50000</v>
      </c>
      <c r="T376" s="32" t="s">
        <v>2211</v>
      </c>
      <c r="U376" s="32">
        <v>50000</v>
      </c>
      <c r="V376" s="32" t="s">
        <v>2211</v>
      </c>
      <c r="W376" s="32">
        <f>VLOOKUP(N376, 'Exchange rate-Kenya'!$A$3:$B$65, 2, 0)</f>
        <v>72.100835017862096</v>
      </c>
      <c r="X376" s="32">
        <f t="shared" si="19"/>
        <v>693.47324462488007</v>
      </c>
      <c r="Y376" s="32">
        <f>(CPI!$B$112/O376)*X376</f>
        <v>1081.8493312046257</v>
      </c>
      <c r="Z376" s="38" t="s">
        <v>303</v>
      </c>
      <c r="AA376" s="35" t="s">
        <v>2323</v>
      </c>
      <c r="AB376" s="32">
        <v>7080</v>
      </c>
      <c r="AC376" s="32" t="s">
        <v>1447</v>
      </c>
      <c r="AG376">
        <v>10965.666666666701</v>
      </c>
      <c r="AH376" s="32" t="s">
        <v>411</v>
      </c>
      <c r="AK376" s="40" t="s">
        <v>747</v>
      </c>
      <c r="AL376" s="32">
        <v>2010</v>
      </c>
      <c r="AM376" s="32" t="s">
        <v>748</v>
      </c>
      <c r="AN376" s="32" t="s">
        <v>749</v>
      </c>
      <c r="AP376" s="35" t="s">
        <v>396</v>
      </c>
    </row>
    <row r="377" spans="1:42" x14ac:dyDescent="0.2">
      <c r="A377" s="40">
        <v>40</v>
      </c>
      <c r="B377" s="40">
        <v>376</v>
      </c>
      <c r="C377" s="40" t="s">
        <v>119</v>
      </c>
      <c r="D377" s="38" t="s">
        <v>128</v>
      </c>
      <c r="E377" s="32" t="s">
        <v>2186</v>
      </c>
      <c r="F377" s="32" t="s">
        <v>29</v>
      </c>
      <c r="G377" s="38" t="s">
        <v>29</v>
      </c>
      <c r="H377" s="32" t="s">
        <v>30</v>
      </c>
      <c r="I377" s="32" t="s">
        <v>243</v>
      </c>
      <c r="J377" s="32" t="s">
        <v>746</v>
      </c>
      <c r="K377" s="32" t="s">
        <v>129</v>
      </c>
      <c r="L377" s="32" t="s">
        <v>30</v>
      </c>
      <c r="M377" s="32" t="s">
        <v>30</v>
      </c>
      <c r="N377" s="40">
        <v>2010</v>
      </c>
      <c r="O377" s="32">
        <f>VLOOKUP(Data!N37, CPI!$A$2:$B$112, 2, 0)</f>
        <v>195.3</v>
      </c>
      <c r="P377" s="32" t="s">
        <v>238</v>
      </c>
      <c r="Q377" s="32" t="s">
        <v>134</v>
      </c>
      <c r="R377" s="32" t="s">
        <v>743</v>
      </c>
      <c r="S377" s="32">
        <v>158500000</v>
      </c>
      <c r="T377" s="32" t="s">
        <v>402</v>
      </c>
      <c r="U377" s="32">
        <f>S377/AB377</f>
        <v>22387.005649717514</v>
      </c>
      <c r="V377" s="32" t="s">
        <v>2211</v>
      </c>
      <c r="W377" s="32">
        <f>VLOOKUP(N377, 'Exchange rate-Kenya'!$A$3:$B$65, 2, 0)</f>
        <v>79.233151704545506</v>
      </c>
      <c r="X377" s="32">
        <f t="shared" si="19"/>
        <v>282.54594406640524</v>
      </c>
      <c r="Y377" s="32">
        <f>(CPI!$B$112/O377)*X377</f>
        <v>440.7843316120539</v>
      </c>
      <c r="Z377" s="38" t="s">
        <v>303</v>
      </c>
      <c r="AA377" s="35" t="s">
        <v>2323</v>
      </c>
      <c r="AB377" s="32">
        <v>7080</v>
      </c>
      <c r="AC377" s="32" t="s">
        <v>1447</v>
      </c>
      <c r="AG377">
        <v>11038.25</v>
      </c>
      <c r="AH377" s="32" t="s">
        <v>411</v>
      </c>
      <c r="AJ377" s="35" t="s">
        <v>2310</v>
      </c>
      <c r="AK377" s="40" t="s">
        <v>747</v>
      </c>
      <c r="AL377" s="32">
        <v>2010</v>
      </c>
      <c r="AM377" s="32" t="s">
        <v>748</v>
      </c>
      <c r="AN377" s="32" t="s">
        <v>749</v>
      </c>
      <c r="AP377" s="35" t="s">
        <v>396</v>
      </c>
    </row>
    <row r="378" spans="1:42" x14ac:dyDescent="0.2">
      <c r="A378" s="40">
        <v>40</v>
      </c>
      <c r="B378" s="40">
        <v>377</v>
      </c>
      <c r="C378" s="40" t="s">
        <v>119</v>
      </c>
      <c r="D378" s="38" t="s">
        <v>128</v>
      </c>
      <c r="E378" s="32" t="s">
        <v>2185</v>
      </c>
      <c r="F378" s="32" t="s">
        <v>2894</v>
      </c>
      <c r="G378" s="38" t="s">
        <v>142</v>
      </c>
      <c r="H378" s="32" t="s">
        <v>30</v>
      </c>
      <c r="I378" s="32" t="s">
        <v>243</v>
      </c>
      <c r="J378" s="32" t="s">
        <v>746</v>
      </c>
      <c r="K378" s="32" t="s">
        <v>129</v>
      </c>
      <c r="L378" s="32" t="s">
        <v>30</v>
      </c>
      <c r="M378" s="32" t="s">
        <v>30</v>
      </c>
      <c r="N378" s="40">
        <v>2010</v>
      </c>
      <c r="O378" s="32">
        <f>VLOOKUP(Data!N38, CPI!$A$2:$B$112, 2, 0)</f>
        <v>195.3</v>
      </c>
      <c r="P378" s="32" t="s">
        <v>238</v>
      </c>
      <c r="Q378" s="32" t="s">
        <v>134</v>
      </c>
      <c r="R378" s="32" t="s">
        <v>744</v>
      </c>
      <c r="S378" s="32">
        <v>78460000</v>
      </c>
      <c r="T378" s="32" t="s">
        <v>402</v>
      </c>
      <c r="U378" s="32">
        <f>S378/AB378</f>
        <v>11081.920903954802</v>
      </c>
      <c r="V378" s="32" t="s">
        <v>2211</v>
      </c>
      <c r="W378" s="32">
        <f>VLOOKUP(N378, 'Exchange rate-Kenya'!$A$3:$B$65, 2, 0)</f>
        <v>79.233151704545506</v>
      </c>
      <c r="X378" s="32">
        <f t="shared" si="19"/>
        <v>139.86469887350256</v>
      </c>
      <c r="Y378" s="32">
        <f>(CPI!$B$112/O378)*X378</f>
        <v>218.19519658221924</v>
      </c>
      <c r="Z378" s="38" t="s">
        <v>303</v>
      </c>
      <c r="AA378" s="35" t="s">
        <v>2323</v>
      </c>
      <c r="AB378" s="32">
        <v>7080</v>
      </c>
      <c r="AC378" s="32" t="s">
        <v>1447</v>
      </c>
      <c r="AG378">
        <v>11032.583333333299</v>
      </c>
      <c r="AH378" s="32" t="s">
        <v>411</v>
      </c>
      <c r="AJ378" s="35" t="s">
        <v>2310</v>
      </c>
      <c r="AK378" s="40" t="s">
        <v>747</v>
      </c>
      <c r="AL378" s="32">
        <v>2010</v>
      </c>
      <c r="AM378" s="32" t="s">
        <v>748</v>
      </c>
      <c r="AN378" s="32" t="s">
        <v>749</v>
      </c>
      <c r="AP378" s="35" t="s">
        <v>396</v>
      </c>
    </row>
    <row r="379" spans="1:42" x14ac:dyDescent="0.2">
      <c r="A379" s="40">
        <v>40</v>
      </c>
      <c r="B379" s="40">
        <v>378</v>
      </c>
      <c r="C379" s="40" t="s">
        <v>119</v>
      </c>
      <c r="D379" s="38" t="s">
        <v>128</v>
      </c>
      <c r="E379" s="32" t="s">
        <v>2186</v>
      </c>
      <c r="F379" s="32" t="s">
        <v>29</v>
      </c>
      <c r="G379" s="38" t="s">
        <v>29</v>
      </c>
      <c r="H379" s="32" t="s">
        <v>30</v>
      </c>
      <c r="I379" s="32" t="s">
        <v>243</v>
      </c>
      <c r="J379" s="32" t="s">
        <v>746</v>
      </c>
      <c r="K379" s="32" t="s">
        <v>129</v>
      </c>
      <c r="L379" s="32" t="s">
        <v>30</v>
      </c>
      <c r="M379" s="32" t="s">
        <v>30</v>
      </c>
      <c r="N379" s="40">
        <v>2010</v>
      </c>
      <c r="O379" s="32">
        <f>VLOOKUP(Data!N39, CPI!$A$2:$B$112, 2, 0)</f>
        <v>201.6</v>
      </c>
      <c r="P379" s="32" t="s">
        <v>238</v>
      </c>
      <c r="Q379" s="32" t="s">
        <v>239</v>
      </c>
      <c r="R379" s="32" t="s">
        <v>745</v>
      </c>
      <c r="S379" s="32">
        <v>20000</v>
      </c>
      <c r="T379" s="32" t="s">
        <v>2211</v>
      </c>
      <c r="U379" s="32">
        <v>20000</v>
      </c>
      <c r="V379" s="32" t="s">
        <v>2211</v>
      </c>
      <c r="W379" s="32">
        <f>VLOOKUP(N379, 'Exchange rate-Kenya'!$A$3:$B$65, 2, 0)</f>
        <v>79.233151704545506</v>
      </c>
      <c r="X379" s="32">
        <f t="shared" si="19"/>
        <v>252.41959419434056</v>
      </c>
      <c r="Y379" s="32">
        <f>(CPI!$B$112/O379)*X379</f>
        <v>381.48006743775079</v>
      </c>
      <c r="Z379" s="38" t="s">
        <v>303</v>
      </c>
      <c r="AA379" s="35" t="s">
        <v>2323</v>
      </c>
      <c r="AB379" s="32">
        <v>7080</v>
      </c>
      <c r="AC379" s="32" t="s">
        <v>1447</v>
      </c>
      <c r="AG379">
        <v>11683.333333333299</v>
      </c>
      <c r="AH379" s="32" t="s">
        <v>411</v>
      </c>
      <c r="AJ379" s="35" t="s">
        <v>2328</v>
      </c>
      <c r="AK379" s="40" t="s">
        <v>747</v>
      </c>
      <c r="AL379" s="32">
        <v>2010</v>
      </c>
      <c r="AM379" s="32" t="s">
        <v>748</v>
      </c>
      <c r="AN379" s="32" t="s">
        <v>749</v>
      </c>
      <c r="AP379" s="35" t="s">
        <v>396</v>
      </c>
    </row>
    <row r="380" spans="1:42" x14ac:dyDescent="0.2">
      <c r="A380" s="40">
        <v>40</v>
      </c>
      <c r="B380" s="40">
        <v>379</v>
      </c>
      <c r="C380" s="40" t="s">
        <v>119</v>
      </c>
      <c r="D380" s="38" t="s">
        <v>128</v>
      </c>
      <c r="E380" s="32" t="s">
        <v>2183</v>
      </c>
      <c r="F380" s="32" t="s">
        <v>126</v>
      </c>
      <c r="G380" s="38" t="s">
        <v>153</v>
      </c>
      <c r="H380" s="32" t="s">
        <v>30</v>
      </c>
      <c r="I380" s="32" t="s">
        <v>243</v>
      </c>
      <c r="J380" s="32" t="s">
        <v>746</v>
      </c>
      <c r="K380" s="32" t="s">
        <v>129</v>
      </c>
      <c r="L380" s="32" t="s">
        <v>30</v>
      </c>
      <c r="M380" s="32" t="s">
        <v>30</v>
      </c>
      <c r="N380" s="40">
        <v>2010</v>
      </c>
      <c r="O380" s="32">
        <f>VLOOKUP(Data!N1376, CPI!$A$2:$B$112, 2, 0)</f>
        <v>109.6</v>
      </c>
      <c r="P380" s="32" t="s">
        <v>238</v>
      </c>
      <c r="Q380" s="32" t="s">
        <v>239</v>
      </c>
      <c r="R380" s="32" t="s">
        <v>734</v>
      </c>
      <c r="S380" s="32">
        <v>6800</v>
      </c>
      <c r="T380" s="32" t="s">
        <v>307</v>
      </c>
      <c r="Z380" s="38" t="s">
        <v>303</v>
      </c>
      <c r="AA380" s="35" t="s">
        <v>2322</v>
      </c>
      <c r="AB380" s="32">
        <v>7080</v>
      </c>
      <c r="AC380" s="32" t="s">
        <v>1447</v>
      </c>
      <c r="AE380" s="32">
        <v>2049</v>
      </c>
      <c r="AF380" s="32" t="s">
        <v>2323</v>
      </c>
      <c r="AH380" s="32" t="s">
        <v>411</v>
      </c>
      <c r="AK380" s="40" t="s">
        <v>747</v>
      </c>
      <c r="AL380" s="32">
        <v>2010</v>
      </c>
      <c r="AM380" s="32" t="s">
        <v>748</v>
      </c>
      <c r="AN380" s="32" t="s">
        <v>749</v>
      </c>
      <c r="AP380" s="35" t="s">
        <v>396</v>
      </c>
    </row>
    <row r="381" spans="1:42" x14ac:dyDescent="0.2">
      <c r="A381" s="40">
        <v>40</v>
      </c>
      <c r="B381" s="40">
        <v>380</v>
      </c>
      <c r="C381" s="40" t="s">
        <v>119</v>
      </c>
      <c r="D381" s="38" t="s">
        <v>128</v>
      </c>
      <c r="E381" s="32" t="s">
        <v>2183</v>
      </c>
      <c r="F381" s="32" t="s">
        <v>126</v>
      </c>
      <c r="G381" s="38" t="s">
        <v>127</v>
      </c>
      <c r="H381" s="32" t="s">
        <v>30</v>
      </c>
      <c r="I381" s="32" t="s">
        <v>243</v>
      </c>
      <c r="J381" s="32" t="s">
        <v>746</v>
      </c>
      <c r="K381" s="32" t="s">
        <v>129</v>
      </c>
      <c r="L381" s="32" t="s">
        <v>30</v>
      </c>
      <c r="M381" s="32" t="s">
        <v>30</v>
      </c>
      <c r="N381" s="40">
        <v>2010</v>
      </c>
      <c r="O381" s="32">
        <f>VLOOKUP(Data!N1377, CPI!$A$2:$B$112, 2, 0)</f>
        <v>109.6</v>
      </c>
      <c r="P381" s="32" t="s">
        <v>238</v>
      </c>
      <c r="Q381" s="32" t="s">
        <v>239</v>
      </c>
      <c r="R381" s="32" t="s">
        <v>2325</v>
      </c>
      <c r="S381" s="32">
        <v>1330</v>
      </c>
      <c r="T381" s="32" t="s">
        <v>307</v>
      </c>
      <c r="Z381" s="38" t="s">
        <v>303</v>
      </c>
      <c r="AA381" s="35" t="s">
        <v>2323</v>
      </c>
      <c r="AB381" s="32">
        <v>7080</v>
      </c>
      <c r="AC381" s="32" t="s">
        <v>1447</v>
      </c>
      <c r="AE381" s="32">
        <v>2049</v>
      </c>
      <c r="AF381" s="32" t="s">
        <v>2323</v>
      </c>
      <c r="AH381" s="32" t="s">
        <v>411</v>
      </c>
      <c r="AK381" s="40" t="s">
        <v>747</v>
      </c>
      <c r="AL381" s="32">
        <v>2010</v>
      </c>
      <c r="AM381" s="32" t="s">
        <v>748</v>
      </c>
      <c r="AN381" s="32" t="s">
        <v>749</v>
      </c>
      <c r="AP381" s="35" t="s">
        <v>396</v>
      </c>
    </row>
    <row r="382" spans="1:42" x14ac:dyDescent="0.2">
      <c r="A382" s="40">
        <v>40</v>
      </c>
      <c r="B382" s="40">
        <v>381</v>
      </c>
      <c r="C382" s="40" t="s">
        <v>119</v>
      </c>
      <c r="D382" s="38" t="s">
        <v>128</v>
      </c>
      <c r="E382" s="32" t="s">
        <v>2184</v>
      </c>
      <c r="F382" s="32" t="s">
        <v>145</v>
      </c>
      <c r="G382" s="38" t="s">
        <v>146</v>
      </c>
      <c r="H382" s="32" t="s">
        <v>30</v>
      </c>
      <c r="I382" s="32" t="s">
        <v>243</v>
      </c>
      <c r="J382" s="32" t="s">
        <v>746</v>
      </c>
      <c r="K382" s="32" t="s">
        <v>129</v>
      </c>
      <c r="L382" s="32" t="s">
        <v>30</v>
      </c>
      <c r="M382" s="32" t="s">
        <v>30</v>
      </c>
      <c r="N382" s="40">
        <v>2010</v>
      </c>
      <c r="O382" s="32">
        <f>VLOOKUP(Data!N1378, CPI!$A$2:$B$112, 2, 0)</f>
        <v>109.6</v>
      </c>
      <c r="P382" s="32" t="s">
        <v>238</v>
      </c>
      <c r="Q382" s="32" t="s">
        <v>134</v>
      </c>
      <c r="R382" s="32" t="s">
        <v>738</v>
      </c>
      <c r="S382" s="32">
        <v>86696000</v>
      </c>
      <c r="T382" s="32" t="s">
        <v>402</v>
      </c>
      <c r="Z382" s="38" t="s">
        <v>303</v>
      </c>
      <c r="AA382" s="35" t="s">
        <v>2323</v>
      </c>
      <c r="AB382" s="32">
        <v>7080</v>
      </c>
      <c r="AC382" s="32" t="s">
        <v>1447</v>
      </c>
      <c r="AH382" s="32" t="s">
        <v>411</v>
      </c>
      <c r="AK382" s="40" t="s">
        <v>747</v>
      </c>
      <c r="AL382" s="32">
        <v>2010</v>
      </c>
      <c r="AM382" s="32" t="s">
        <v>748</v>
      </c>
      <c r="AN382" s="32" t="s">
        <v>749</v>
      </c>
      <c r="AP382" s="35" t="s">
        <v>396</v>
      </c>
    </row>
    <row r="383" spans="1:42" x14ac:dyDescent="0.2">
      <c r="A383" s="40">
        <v>40</v>
      </c>
      <c r="B383" s="40">
        <v>382</v>
      </c>
      <c r="C383" s="40" t="s">
        <v>119</v>
      </c>
      <c r="D383" s="38" t="s">
        <v>128</v>
      </c>
      <c r="E383" s="32" t="s">
        <v>2183</v>
      </c>
      <c r="F383" s="32" t="s">
        <v>237</v>
      </c>
      <c r="G383" s="38" t="s">
        <v>117</v>
      </c>
      <c r="H383" s="32" t="s">
        <v>30</v>
      </c>
      <c r="I383" s="32" t="s">
        <v>243</v>
      </c>
      <c r="J383" s="32" t="s">
        <v>746</v>
      </c>
      <c r="K383" s="32" t="s">
        <v>129</v>
      </c>
      <c r="L383" s="32" t="s">
        <v>30</v>
      </c>
      <c r="M383" s="32" t="s">
        <v>30</v>
      </c>
      <c r="N383" s="40">
        <v>2010</v>
      </c>
      <c r="O383" s="32">
        <f>VLOOKUP(Data!N1379, CPI!$A$2:$B$112, 2, 0)</f>
        <v>163</v>
      </c>
      <c r="P383" s="32" t="s">
        <v>238</v>
      </c>
      <c r="Q383" s="32" t="s">
        <v>134</v>
      </c>
      <c r="R383" s="32" t="s">
        <v>741</v>
      </c>
      <c r="S383" s="32">
        <v>237000000</v>
      </c>
      <c r="T383" s="32" t="s">
        <v>402</v>
      </c>
      <c r="Z383" s="38" t="s">
        <v>303</v>
      </c>
      <c r="AA383" s="35" t="s">
        <v>2323</v>
      </c>
      <c r="AB383" s="32">
        <v>7080</v>
      </c>
      <c r="AC383" s="32" t="s">
        <v>1447</v>
      </c>
      <c r="AH383" s="32" t="s">
        <v>411</v>
      </c>
      <c r="AK383" s="40" t="s">
        <v>747</v>
      </c>
      <c r="AL383" s="32">
        <v>2010</v>
      </c>
      <c r="AM383" s="32" t="s">
        <v>748</v>
      </c>
      <c r="AN383" s="32" t="s">
        <v>749</v>
      </c>
      <c r="AP383" s="35" t="s">
        <v>396</v>
      </c>
    </row>
    <row r="384" spans="1:42" x14ac:dyDescent="0.2">
      <c r="A384" s="40">
        <v>40</v>
      </c>
      <c r="B384" s="40">
        <v>383</v>
      </c>
      <c r="C384" s="40" t="s">
        <v>119</v>
      </c>
      <c r="D384" s="38" t="s">
        <v>128</v>
      </c>
      <c r="E384" s="32" t="s">
        <v>2185</v>
      </c>
      <c r="F384" s="32" t="s">
        <v>2894</v>
      </c>
      <c r="G384" s="38" t="s">
        <v>142</v>
      </c>
      <c r="H384" s="32" t="s">
        <v>30</v>
      </c>
      <c r="I384" s="32" t="s">
        <v>243</v>
      </c>
      <c r="J384" s="32" t="s">
        <v>746</v>
      </c>
      <c r="K384" s="32" t="s">
        <v>129</v>
      </c>
      <c r="L384" s="32" t="s">
        <v>30</v>
      </c>
      <c r="M384" s="32" t="s">
        <v>30</v>
      </c>
      <c r="N384" s="40">
        <v>2010</v>
      </c>
      <c r="O384" s="32">
        <f>VLOOKUP(Data!N1380, CPI!$A$2:$B$112, 2, 0)</f>
        <v>163</v>
      </c>
      <c r="P384" s="32" t="s">
        <v>238</v>
      </c>
      <c r="Q384" s="32" t="s">
        <v>134</v>
      </c>
      <c r="R384" s="32" t="s">
        <v>742</v>
      </c>
      <c r="S384" s="32">
        <v>237000000</v>
      </c>
      <c r="T384" s="32" t="s">
        <v>402</v>
      </c>
      <c r="Z384" s="38" t="s">
        <v>303</v>
      </c>
      <c r="AA384" s="35" t="s">
        <v>2323</v>
      </c>
      <c r="AB384" s="32">
        <v>7080</v>
      </c>
      <c r="AC384" s="32" t="s">
        <v>1447</v>
      </c>
      <c r="AH384" s="32" t="s">
        <v>411</v>
      </c>
      <c r="AK384" s="40" t="s">
        <v>747</v>
      </c>
      <c r="AL384" s="32">
        <v>2010</v>
      </c>
      <c r="AM384" s="32" t="s">
        <v>748</v>
      </c>
      <c r="AN384" s="32" t="s">
        <v>749</v>
      </c>
      <c r="AP384" s="35" t="s">
        <v>396</v>
      </c>
    </row>
    <row r="385" spans="1:42" x14ac:dyDescent="0.2">
      <c r="A385" s="40">
        <v>41</v>
      </c>
      <c r="B385" s="40">
        <v>384</v>
      </c>
      <c r="C385" s="40" t="s">
        <v>119</v>
      </c>
      <c r="D385" s="38" t="s">
        <v>128</v>
      </c>
      <c r="E385" s="32" t="s">
        <v>2183</v>
      </c>
      <c r="F385" s="32" t="s">
        <v>126</v>
      </c>
      <c r="G385" s="38" t="s">
        <v>153</v>
      </c>
      <c r="H385" s="32" t="s">
        <v>30</v>
      </c>
      <c r="I385" s="32" t="s">
        <v>243</v>
      </c>
      <c r="J385" s="32" t="s">
        <v>750</v>
      </c>
      <c r="K385" s="32" t="s">
        <v>129</v>
      </c>
      <c r="L385" s="32" t="s">
        <v>766</v>
      </c>
      <c r="M385" s="32" t="s">
        <v>765</v>
      </c>
      <c r="N385" s="40">
        <v>2013</v>
      </c>
      <c r="O385" s="32">
        <f>VLOOKUP(Data!N404, CPI!$A$2:$B$112, 2, 0)</f>
        <v>236.73599999999999</v>
      </c>
      <c r="P385" s="32" t="s">
        <v>238</v>
      </c>
      <c r="Q385" s="32" t="s">
        <v>239</v>
      </c>
      <c r="R385" s="32" t="s">
        <v>751</v>
      </c>
      <c r="S385" s="32">
        <v>282.75</v>
      </c>
      <c r="T385" s="32" t="s">
        <v>362</v>
      </c>
      <c r="U385" s="32">
        <f t="shared" ref="U385:U398" si="20">(S385*AE385)/AB385</f>
        <v>436.81845535714285</v>
      </c>
      <c r="V385" s="32" t="s">
        <v>316</v>
      </c>
      <c r="X385" s="32">
        <f t="shared" ref="X385:X398" si="21">U385</f>
        <v>436.81845535714285</v>
      </c>
      <c r="Y385" s="32">
        <f>(CPI!$B$112/O385)*X385</f>
        <v>562.18077232966004</v>
      </c>
      <c r="Z385" s="38" t="s">
        <v>262</v>
      </c>
      <c r="AA385" s="35" t="s">
        <v>1445</v>
      </c>
      <c r="AB385" s="32">
        <v>28000</v>
      </c>
      <c r="AC385" s="32" t="s">
        <v>2327</v>
      </c>
      <c r="AE385" s="32">
        <v>43257</v>
      </c>
      <c r="AH385" s="32" t="s">
        <v>411</v>
      </c>
      <c r="AJ385" s="35" t="s">
        <v>2328</v>
      </c>
      <c r="AK385" s="40" t="s">
        <v>767</v>
      </c>
      <c r="AL385" s="32">
        <v>2016</v>
      </c>
      <c r="AM385" s="32" t="s">
        <v>768</v>
      </c>
      <c r="AN385" s="32" t="s">
        <v>769</v>
      </c>
      <c r="AO385" s="38" t="s">
        <v>770</v>
      </c>
      <c r="AP385" s="35" t="s">
        <v>396</v>
      </c>
    </row>
    <row r="386" spans="1:42" x14ac:dyDescent="0.2">
      <c r="A386" s="40">
        <v>41</v>
      </c>
      <c r="B386" s="40">
        <v>385</v>
      </c>
      <c r="C386" s="40" t="s">
        <v>119</v>
      </c>
      <c r="D386" s="38" t="s">
        <v>128</v>
      </c>
      <c r="E386" s="32" t="s">
        <v>2183</v>
      </c>
      <c r="F386" s="32" t="s">
        <v>140</v>
      </c>
      <c r="G386" s="38" t="s">
        <v>2160</v>
      </c>
      <c r="H386" s="32" t="s">
        <v>30</v>
      </c>
      <c r="I386" s="32" t="s">
        <v>243</v>
      </c>
      <c r="J386" s="32" t="s">
        <v>750</v>
      </c>
      <c r="K386" s="32" t="s">
        <v>129</v>
      </c>
      <c r="L386" s="32" t="s">
        <v>766</v>
      </c>
      <c r="M386" s="32" t="s">
        <v>765</v>
      </c>
      <c r="N386" s="40">
        <v>2013</v>
      </c>
      <c r="O386" s="32">
        <f>VLOOKUP(Data!N405, CPI!$A$2:$B$112, 2, 0)</f>
        <v>207.3</v>
      </c>
      <c r="P386" s="32" t="s">
        <v>238</v>
      </c>
      <c r="Q386" s="32" t="s">
        <v>239</v>
      </c>
      <c r="R386" s="32" t="s">
        <v>752</v>
      </c>
      <c r="S386" s="32">
        <v>85.3</v>
      </c>
      <c r="T386" s="32" t="s">
        <v>362</v>
      </c>
      <c r="U386" s="32">
        <f t="shared" si="20"/>
        <v>131.77936071428573</v>
      </c>
      <c r="V386" s="32" t="s">
        <v>316</v>
      </c>
      <c r="X386" s="32">
        <f t="shared" si="21"/>
        <v>131.77936071428573</v>
      </c>
      <c r="Y386" s="32">
        <f>(CPI!$B$112/O386)*X386</f>
        <v>193.68117385193565</v>
      </c>
      <c r="Z386" s="38" t="s">
        <v>262</v>
      </c>
      <c r="AA386" s="35" t="s">
        <v>1445</v>
      </c>
      <c r="AB386" s="32">
        <v>28000</v>
      </c>
      <c r="AC386" s="32" t="s">
        <v>2327</v>
      </c>
      <c r="AE386" s="32">
        <v>43257</v>
      </c>
      <c r="AH386" s="32" t="s">
        <v>411</v>
      </c>
      <c r="AJ386" s="35" t="s">
        <v>2328</v>
      </c>
      <c r="AK386" s="40" t="s">
        <v>767</v>
      </c>
      <c r="AL386" s="32">
        <v>2016</v>
      </c>
      <c r="AM386" s="32" t="s">
        <v>768</v>
      </c>
      <c r="AN386" s="32" t="s">
        <v>769</v>
      </c>
      <c r="AO386" s="38" t="s">
        <v>771</v>
      </c>
      <c r="AP386" s="35" t="s">
        <v>396</v>
      </c>
    </row>
    <row r="387" spans="1:42" x14ac:dyDescent="0.2">
      <c r="A387" s="40">
        <v>41</v>
      </c>
      <c r="B387" s="40">
        <v>386</v>
      </c>
      <c r="C387" s="40" t="s">
        <v>119</v>
      </c>
      <c r="D387" s="38" t="s">
        <v>128</v>
      </c>
      <c r="E387" s="32" t="s">
        <v>2183</v>
      </c>
      <c r="F387" s="32" t="s">
        <v>126</v>
      </c>
      <c r="G387" s="38" t="s">
        <v>152</v>
      </c>
      <c r="H387" s="32" t="s">
        <v>30</v>
      </c>
      <c r="I387" s="32" t="s">
        <v>243</v>
      </c>
      <c r="J387" s="32" t="s">
        <v>750</v>
      </c>
      <c r="K387" s="32" t="s">
        <v>129</v>
      </c>
      <c r="L387" s="32" t="s">
        <v>766</v>
      </c>
      <c r="M387" s="32" t="s">
        <v>765</v>
      </c>
      <c r="N387" s="40">
        <v>2013</v>
      </c>
      <c r="O387" s="32">
        <f>VLOOKUP(Data!N406, CPI!$A$2:$B$112, 2, 0)</f>
        <v>207.3</v>
      </c>
      <c r="P387" s="32" t="s">
        <v>238</v>
      </c>
      <c r="Q387" s="32" t="s">
        <v>239</v>
      </c>
      <c r="R387" s="32" t="s">
        <v>753</v>
      </c>
      <c r="S387" s="32">
        <v>366.21</v>
      </c>
      <c r="T387" s="32" t="s">
        <v>362</v>
      </c>
      <c r="U387" s="32">
        <f t="shared" si="20"/>
        <v>565.75521321428562</v>
      </c>
      <c r="V387" s="32" t="s">
        <v>316</v>
      </c>
      <c r="X387" s="32">
        <f t="shared" si="21"/>
        <v>565.75521321428562</v>
      </c>
      <c r="Y387" s="32">
        <f>(CPI!$B$112/O387)*X387</f>
        <v>831.51210640465808</v>
      </c>
      <c r="Z387" s="38" t="s">
        <v>262</v>
      </c>
      <c r="AA387" s="35" t="s">
        <v>1445</v>
      </c>
      <c r="AB387" s="32">
        <v>28000</v>
      </c>
      <c r="AC387" s="32" t="s">
        <v>2327</v>
      </c>
      <c r="AE387" s="32">
        <v>43257</v>
      </c>
      <c r="AH387" s="32" t="s">
        <v>411</v>
      </c>
      <c r="AJ387" s="35" t="s">
        <v>2328</v>
      </c>
      <c r="AK387" s="40" t="s">
        <v>767</v>
      </c>
      <c r="AL387" s="32">
        <v>2016</v>
      </c>
      <c r="AM387" s="32" t="s">
        <v>768</v>
      </c>
      <c r="AN387" s="32" t="s">
        <v>769</v>
      </c>
      <c r="AO387" s="38" t="s">
        <v>772</v>
      </c>
      <c r="AP387" s="35" t="s">
        <v>396</v>
      </c>
    </row>
    <row r="388" spans="1:42" x14ac:dyDescent="0.2">
      <c r="A388" s="40">
        <v>41</v>
      </c>
      <c r="B388" s="40">
        <v>387</v>
      </c>
      <c r="C388" s="40" t="s">
        <v>119</v>
      </c>
      <c r="D388" s="38" t="s">
        <v>128</v>
      </c>
      <c r="E388" s="32" t="s">
        <v>2183</v>
      </c>
      <c r="F388" s="32" t="s">
        <v>237</v>
      </c>
      <c r="G388" s="38" t="s">
        <v>117</v>
      </c>
      <c r="H388" s="32" t="s">
        <v>30</v>
      </c>
      <c r="I388" s="32" t="s">
        <v>243</v>
      </c>
      <c r="J388" s="32" t="s">
        <v>750</v>
      </c>
      <c r="K388" s="32" t="s">
        <v>129</v>
      </c>
      <c r="L388" s="32" t="s">
        <v>766</v>
      </c>
      <c r="M388" s="32" t="s">
        <v>765</v>
      </c>
      <c r="N388" s="40">
        <v>2013</v>
      </c>
      <c r="O388" s="32">
        <f>VLOOKUP(Data!N407, CPI!$A$2:$B$112, 2, 0)</f>
        <v>207.3</v>
      </c>
      <c r="P388" s="32" t="s">
        <v>238</v>
      </c>
      <c r="Q388" s="32" t="s">
        <v>239</v>
      </c>
      <c r="R388" s="32" t="s">
        <v>754</v>
      </c>
      <c r="S388" s="32">
        <v>771.38</v>
      </c>
      <c r="T388" s="32" t="s">
        <v>362</v>
      </c>
      <c r="U388" s="32">
        <f t="shared" si="20"/>
        <v>1191.6994521428571</v>
      </c>
      <c r="V388" s="32" t="s">
        <v>316</v>
      </c>
      <c r="X388" s="32">
        <f t="shared" si="21"/>
        <v>1191.6994521428571</v>
      </c>
      <c r="Y388" s="32">
        <f>(CPI!$B$112/O388)*X388</f>
        <v>1751.4863292603293</v>
      </c>
      <c r="Z388" s="38" t="s">
        <v>262</v>
      </c>
      <c r="AA388" s="35" t="s">
        <v>1445</v>
      </c>
      <c r="AB388" s="32">
        <v>28000</v>
      </c>
      <c r="AC388" s="32" t="s">
        <v>2327</v>
      </c>
      <c r="AE388" s="32">
        <v>43257</v>
      </c>
      <c r="AH388" s="32" t="s">
        <v>411</v>
      </c>
      <c r="AJ388" s="35" t="s">
        <v>2328</v>
      </c>
      <c r="AK388" s="40" t="s">
        <v>767</v>
      </c>
      <c r="AL388" s="32">
        <v>2016</v>
      </c>
      <c r="AM388" s="32" t="s">
        <v>768</v>
      </c>
      <c r="AN388" s="32" t="s">
        <v>769</v>
      </c>
      <c r="AO388" s="38" t="s">
        <v>773</v>
      </c>
      <c r="AP388" s="35" t="s">
        <v>396</v>
      </c>
    </row>
    <row r="389" spans="1:42" x14ac:dyDescent="0.2">
      <c r="A389" s="40">
        <v>41</v>
      </c>
      <c r="B389" s="40">
        <v>388</v>
      </c>
      <c r="C389" s="40" t="s">
        <v>119</v>
      </c>
      <c r="D389" s="38" t="s">
        <v>128</v>
      </c>
      <c r="E389" s="32" t="s">
        <v>2186</v>
      </c>
      <c r="F389" s="32" t="s">
        <v>21</v>
      </c>
      <c r="G389" s="38" t="s">
        <v>163</v>
      </c>
      <c r="H389" s="32" t="s">
        <v>30</v>
      </c>
      <c r="I389" s="32" t="s">
        <v>243</v>
      </c>
      <c r="J389" s="32" t="s">
        <v>750</v>
      </c>
      <c r="K389" s="32" t="s">
        <v>129</v>
      </c>
      <c r="L389" s="32" t="s">
        <v>766</v>
      </c>
      <c r="M389" s="32" t="s">
        <v>765</v>
      </c>
      <c r="N389" s="40">
        <v>2013</v>
      </c>
      <c r="O389" s="32">
        <f>VLOOKUP(Data!N408, CPI!$A$2:$B$112, 2, 0)</f>
        <v>207.3</v>
      </c>
      <c r="P389" s="32" t="s">
        <v>238</v>
      </c>
      <c r="Q389" s="32" t="s">
        <v>239</v>
      </c>
      <c r="R389" s="32" t="s">
        <v>755</v>
      </c>
      <c r="S389" s="32">
        <v>11.71</v>
      </c>
      <c r="T389" s="32" t="s">
        <v>362</v>
      </c>
      <c r="U389" s="32">
        <f t="shared" si="20"/>
        <v>18.090695357142859</v>
      </c>
      <c r="V389" s="32" t="s">
        <v>316</v>
      </c>
      <c r="X389" s="32">
        <f t="shared" si="21"/>
        <v>18.090695357142859</v>
      </c>
      <c r="Y389" s="32">
        <f>(CPI!$B$112/O389)*X389</f>
        <v>26.588587875805</v>
      </c>
      <c r="Z389" s="38" t="s">
        <v>262</v>
      </c>
      <c r="AA389" s="35" t="s">
        <v>1445</v>
      </c>
      <c r="AB389" s="32">
        <v>28000</v>
      </c>
      <c r="AC389" s="32" t="s">
        <v>2327</v>
      </c>
      <c r="AE389" s="32">
        <v>43257</v>
      </c>
      <c r="AH389" s="32" t="s">
        <v>411</v>
      </c>
      <c r="AJ389" s="35" t="s">
        <v>2328</v>
      </c>
      <c r="AK389" s="40" t="s">
        <v>767</v>
      </c>
      <c r="AL389" s="32">
        <v>2016</v>
      </c>
      <c r="AM389" s="32" t="s">
        <v>768</v>
      </c>
      <c r="AN389" s="32" t="s">
        <v>769</v>
      </c>
      <c r="AO389" s="38" t="s">
        <v>774</v>
      </c>
      <c r="AP389" s="35" t="s">
        <v>396</v>
      </c>
    </row>
    <row r="390" spans="1:42" x14ac:dyDescent="0.2">
      <c r="A390" s="40">
        <v>41</v>
      </c>
      <c r="B390" s="40">
        <v>389</v>
      </c>
      <c r="C390" s="40" t="s">
        <v>119</v>
      </c>
      <c r="D390" s="38" t="s">
        <v>128</v>
      </c>
      <c r="E390" s="32" t="s">
        <v>2183</v>
      </c>
      <c r="F390" s="32" t="s">
        <v>237</v>
      </c>
      <c r="G390" s="38" t="s">
        <v>179</v>
      </c>
      <c r="H390" s="32" t="s">
        <v>30</v>
      </c>
      <c r="I390" s="32" t="s">
        <v>243</v>
      </c>
      <c r="J390" s="32" t="s">
        <v>750</v>
      </c>
      <c r="K390" s="32" t="s">
        <v>129</v>
      </c>
      <c r="L390" s="32" t="s">
        <v>766</v>
      </c>
      <c r="M390" s="32" t="s">
        <v>765</v>
      </c>
      <c r="N390" s="40">
        <v>2013</v>
      </c>
      <c r="O390" s="32">
        <f>VLOOKUP(Data!N409, CPI!$A$2:$B$112, 2, 0)</f>
        <v>214.53700000000001</v>
      </c>
      <c r="P390" s="32" t="s">
        <v>238</v>
      </c>
      <c r="Q390" s="32" t="s">
        <v>239</v>
      </c>
      <c r="R390" s="32" t="s">
        <v>756</v>
      </c>
      <c r="S390" s="32">
        <v>143.55000000000001</v>
      </c>
      <c r="T390" s="32" t="s">
        <v>362</v>
      </c>
      <c r="U390" s="32">
        <f t="shared" si="20"/>
        <v>221.76936964285716</v>
      </c>
      <c r="V390" s="32" t="s">
        <v>316</v>
      </c>
      <c r="X390" s="32">
        <f t="shared" si="21"/>
        <v>221.76936964285716</v>
      </c>
      <c r="Y390" s="32">
        <f>(CPI!$B$112/O390)*X390</f>
        <v>314.94786816415996</v>
      </c>
      <c r="Z390" s="38" t="s">
        <v>262</v>
      </c>
      <c r="AA390" s="35" t="s">
        <v>1445</v>
      </c>
      <c r="AB390" s="32">
        <v>28000</v>
      </c>
      <c r="AC390" s="32" t="s">
        <v>2327</v>
      </c>
      <c r="AE390" s="32">
        <v>43257</v>
      </c>
      <c r="AH390" s="32" t="s">
        <v>411</v>
      </c>
      <c r="AJ390" s="35" t="s">
        <v>2328</v>
      </c>
      <c r="AK390" s="40" t="s">
        <v>767</v>
      </c>
      <c r="AL390" s="32">
        <v>2016</v>
      </c>
      <c r="AM390" s="32" t="s">
        <v>768</v>
      </c>
      <c r="AN390" s="32" t="s">
        <v>769</v>
      </c>
      <c r="AO390" s="38" t="s">
        <v>775</v>
      </c>
      <c r="AP390" s="35" t="s">
        <v>396</v>
      </c>
    </row>
    <row r="391" spans="1:42" x14ac:dyDescent="0.2">
      <c r="A391" s="40">
        <v>41</v>
      </c>
      <c r="B391" s="40">
        <v>390</v>
      </c>
      <c r="C391" s="40" t="s">
        <v>119</v>
      </c>
      <c r="D391" s="38" t="s">
        <v>128</v>
      </c>
      <c r="E391" s="32" t="s">
        <v>2183</v>
      </c>
      <c r="F391" s="32" t="s">
        <v>237</v>
      </c>
      <c r="G391" s="38" t="s">
        <v>117</v>
      </c>
      <c r="H391" s="32" t="s">
        <v>30</v>
      </c>
      <c r="I391" s="32" t="s">
        <v>243</v>
      </c>
      <c r="J391" s="32" t="s">
        <v>750</v>
      </c>
      <c r="K391" s="32" t="s">
        <v>129</v>
      </c>
      <c r="L391" s="32" t="s">
        <v>766</v>
      </c>
      <c r="M391" s="32" t="s">
        <v>765</v>
      </c>
      <c r="N391" s="40">
        <v>2013</v>
      </c>
      <c r="O391" s="32">
        <f>VLOOKUP(Data!N410, CPI!$A$2:$B$112, 2, 0)</f>
        <v>214.53700000000001</v>
      </c>
      <c r="P391" s="32" t="s">
        <v>238</v>
      </c>
      <c r="Q391" s="32" t="s">
        <v>239</v>
      </c>
      <c r="R391" s="32" t="s">
        <v>757</v>
      </c>
      <c r="S391" s="32">
        <v>106.37</v>
      </c>
      <c r="T391" s="32" t="s">
        <v>362</v>
      </c>
      <c r="U391" s="32">
        <f t="shared" si="20"/>
        <v>164.3302532142857</v>
      </c>
      <c r="V391" s="32" t="s">
        <v>316</v>
      </c>
      <c r="X391" s="32">
        <f t="shared" si="21"/>
        <v>164.3302532142857</v>
      </c>
      <c r="Y391" s="32">
        <f>(CPI!$B$112/O391)*X391</f>
        <v>233.37516361282962</v>
      </c>
      <c r="Z391" s="38" t="s">
        <v>262</v>
      </c>
      <c r="AA391" s="35" t="s">
        <v>1445</v>
      </c>
      <c r="AB391" s="32">
        <v>28000</v>
      </c>
      <c r="AC391" s="32" t="s">
        <v>2327</v>
      </c>
      <c r="AE391" s="32">
        <v>43257</v>
      </c>
      <c r="AH391" s="32" t="s">
        <v>411</v>
      </c>
      <c r="AJ391" s="35" t="s">
        <v>2328</v>
      </c>
      <c r="AK391" s="40" t="s">
        <v>767</v>
      </c>
      <c r="AL391" s="32">
        <v>2016</v>
      </c>
      <c r="AM391" s="32" t="s">
        <v>768</v>
      </c>
      <c r="AN391" s="32" t="s">
        <v>769</v>
      </c>
      <c r="AO391" s="38" t="s">
        <v>776</v>
      </c>
      <c r="AP391" s="35" t="s">
        <v>396</v>
      </c>
    </row>
    <row r="392" spans="1:42" x14ac:dyDescent="0.2">
      <c r="A392" s="40">
        <v>41</v>
      </c>
      <c r="B392" s="40">
        <v>391</v>
      </c>
      <c r="C392" s="40" t="s">
        <v>119</v>
      </c>
      <c r="D392" s="38" t="s">
        <v>128</v>
      </c>
      <c r="E392" s="32" t="s">
        <v>2183</v>
      </c>
      <c r="F392" s="32" t="s">
        <v>126</v>
      </c>
      <c r="G392" s="38" t="s">
        <v>152</v>
      </c>
      <c r="H392" s="32" t="s">
        <v>30</v>
      </c>
      <c r="I392" s="32" t="s">
        <v>243</v>
      </c>
      <c r="J392" s="32" t="s">
        <v>750</v>
      </c>
      <c r="K392" s="32" t="s">
        <v>129</v>
      </c>
      <c r="L392" s="32" t="s">
        <v>766</v>
      </c>
      <c r="M392" s="32" t="s">
        <v>765</v>
      </c>
      <c r="N392" s="40">
        <v>2013</v>
      </c>
      <c r="O392" s="32">
        <f>VLOOKUP(Data!N411, CPI!$A$2:$B$112, 2, 0)</f>
        <v>214.53700000000001</v>
      </c>
      <c r="P392" s="32" t="s">
        <v>238</v>
      </c>
      <c r="Q392" s="32" t="s">
        <v>239</v>
      </c>
      <c r="R392" s="32" t="s">
        <v>758</v>
      </c>
      <c r="S392" s="32">
        <v>203.25</v>
      </c>
      <c r="T392" s="32" t="s">
        <v>362</v>
      </c>
      <c r="U392" s="32">
        <f t="shared" si="20"/>
        <v>313.99947321428573</v>
      </c>
      <c r="V392" s="32" t="s">
        <v>316</v>
      </c>
      <c r="X392" s="32">
        <f t="shared" si="21"/>
        <v>313.99947321428573</v>
      </c>
      <c r="Y392" s="32">
        <f>(CPI!$B$112/O392)*X392</f>
        <v>445.92932221780222</v>
      </c>
      <c r="Z392" s="38" t="s">
        <v>262</v>
      </c>
      <c r="AA392" s="35" t="s">
        <v>1445</v>
      </c>
      <c r="AB392" s="32">
        <v>28000</v>
      </c>
      <c r="AC392" s="32" t="s">
        <v>2327</v>
      </c>
      <c r="AE392" s="32">
        <v>43257</v>
      </c>
      <c r="AH392" s="32" t="s">
        <v>411</v>
      </c>
      <c r="AJ392" s="35" t="s">
        <v>2328</v>
      </c>
      <c r="AK392" s="40" t="s">
        <v>767</v>
      </c>
      <c r="AL392" s="32">
        <v>2016</v>
      </c>
      <c r="AM392" s="32" t="s">
        <v>768</v>
      </c>
      <c r="AN392" s="32" t="s">
        <v>769</v>
      </c>
      <c r="AO392" s="38" t="s">
        <v>777</v>
      </c>
      <c r="AP392" s="35" t="s">
        <v>396</v>
      </c>
    </row>
    <row r="393" spans="1:42" x14ac:dyDescent="0.2">
      <c r="A393" s="40">
        <v>41</v>
      </c>
      <c r="B393" s="40">
        <v>392</v>
      </c>
      <c r="C393" s="40" t="s">
        <v>119</v>
      </c>
      <c r="D393" s="38" t="s">
        <v>128</v>
      </c>
      <c r="E393" s="32" t="s">
        <v>2183</v>
      </c>
      <c r="F393" s="32" t="s">
        <v>126</v>
      </c>
      <c r="G393" s="38" t="s">
        <v>2910</v>
      </c>
      <c r="H393" s="32" t="s">
        <v>30</v>
      </c>
      <c r="I393" s="32" t="s">
        <v>243</v>
      </c>
      <c r="J393" s="32" t="s">
        <v>750</v>
      </c>
      <c r="K393" s="32" t="s">
        <v>129</v>
      </c>
      <c r="L393" s="32" t="s">
        <v>766</v>
      </c>
      <c r="M393" s="32" t="s">
        <v>765</v>
      </c>
      <c r="N393" s="40">
        <v>2013</v>
      </c>
      <c r="O393" s="32">
        <f>VLOOKUP(Data!N412, CPI!$A$2:$B$112, 2, 0)</f>
        <v>240.00700000000001</v>
      </c>
      <c r="P393" s="32" t="s">
        <v>238</v>
      </c>
      <c r="Q393" s="32" t="s">
        <v>239</v>
      </c>
      <c r="R393" s="32" t="s">
        <v>759</v>
      </c>
      <c r="S393" s="32">
        <v>1.1399999999999999</v>
      </c>
      <c r="T393" s="32" t="s">
        <v>362</v>
      </c>
      <c r="U393" s="32">
        <f t="shared" si="20"/>
        <v>1.7611778571428569</v>
      </c>
      <c r="V393" s="32" t="s">
        <v>316</v>
      </c>
      <c r="X393" s="32">
        <f t="shared" si="21"/>
        <v>1.7611778571428569</v>
      </c>
      <c r="Y393" s="32">
        <f>(CPI!$B$112/O393)*X393</f>
        <v>2.2357262316776176</v>
      </c>
      <c r="Z393" s="38" t="s">
        <v>262</v>
      </c>
      <c r="AA393" s="35" t="s">
        <v>1445</v>
      </c>
      <c r="AB393" s="32">
        <v>28000</v>
      </c>
      <c r="AC393" s="32" t="s">
        <v>2327</v>
      </c>
      <c r="AE393" s="32">
        <v>43257</v>
      </c>
      <c r="AH393" s="32" t="s">
        <v>411</v>
      </c>
      <c r="AJ393" s="35" t="s">
        <v>2328</v>
      </c>
      <c r="AK393" s="40" t="s">
        <v>767</v>
      </c>
      <c r="AL393" s="32">
        <v>2016</v>
      </c>
      <c r="AM393" s="32" t="s">
        <v>768</v>
      </c>
      <c r="AN393" s="32" t="s">
        <v>769</v>
      </c>
      <c r="AO393" s="38" t="s">
        <v>778</v>
      </c>
      <c r="AP393" s="35" t="s">
        <v>396</v>
      </c>
    </row>
    <row r="394" spans="1:42" x14ac:dyDescent="0.2">
      <c r="A394" s="40">
        <v>41</v>
      </c>
      <c r="B394" s="40">
        <v>393</v>
      </c>
      <c r="C394" s="40" t="s">
        <v>119</v>
      </c>
      <c r="D394" s="38" t="s">
        <v>128</v>
      </c>
      <c r="E394" s="32" t="s">
        <v>2183</v>
      </c>
      <c r="F394" s="32" t="s">
        <v>126</v>
      </c>
      <c r="G394" s="38" t="s">
        <v>212</v>
      </c>
      <c r="H394" s="32" t="s">
        <v>30</v>
      </c>
      <c r="I394" s="32" t="s">
        <v>243</v>
      </c>
      <c r="J394" s="32" t="s">
        <v>750</v>
      </c>
      <c r="K394" s="32" t="s">
        <v>129</v>
      </c>
      <c r="L394" s="32" t="s">
        <v>766</v>
      </c>
      <c r="M394" s="32" t="s">
        <v>765</v>
      </c>
      <c r="N394" s="40">
        <v>2013</v>
      </c>
      <c r="O394" s="32">
        <f>VLOOKUP(Data!N413, CPI!$A$2:$B$112, 2, 0)</f>
        <v>240.00700000000001</v>
      </c>
      <c r="P394" s="32" t="s">
        <v>238</v>
      </c>
      <c r="Q394" s="32" t="s">
        <v>239</v>
      </c>
      <c r="R394" s="32" t="s">
        <v>760</v>
      </c>
      <c r="S394" s="32">
        <v>46.97</v>
      </c>
      <c r="T394" s="32" t="s">
        <v>362</v>
      </c>
      <c r="U394" s="32">
        <f t="shared" si="20"/>
        <v>72.563617500000007</v>
      </c>
      <c r="V394" s="32" t="s">
        <v>316</v>
      </c>
      <c r="X394" s="32">
        <f t="shared" si="21"/>
        <v>72.563617500000007</v>
      </c>
      <c r="Y394" s="32">
        <f>(CPI!$B$112/O394)*X394</f>
        <v>92.115843071840104</v>
      </c>
      <c r="Z394" s="38" t="s">
        <v>262</v>
      </c>
      <c r="AA394" s="35" t="s">
        <v>1445</v>
      </c>
      <c r="AB394" s="32">
        <v>28000</v>
      </c>
      <c r="AC394" s="32" t="s">
        <v>2327</v>
      </c>
      <c r="AE394" s="32">
        <v>43257</v>
      </c>
      <c r="AH394" s="32" t="s">
        <v>411</v>
      </c>
      <c r="AJ394" s="35" t="s">
        <v>2328</v>
      </c>
      <c r="AK394" s="40" t="s">
        <v>767</v>
      </c>
      <c r="AL394" s="32">
        <v>2016</v>
      </c>
      <c r="AM394" s="32" t="s">
        <v>768</v>
      </c>
      <c r="AN394" s="32" t="s">
        <v>769</v>
      </c>
      <c r="AO394" s="38" t="s">
        <v>779</v>
      </c>
      <c r="AP394" s="35" t="s">
        <v>396</v>
      </c>
    </row>
    <row r="395" spans="1:42" x14ac:dyDescent="0.2">
      <c r="A395" s="40">
        <v>41</v>
      </c>
      <c r="B395" s="40">
        <v>394</v>
      </c>
      <c r="C395" s="40" t="s">
        <v>119</v>
      </c>
      <c r="D395" s="38" t="s">
        <v>128</v>
      </c>
      <c r="E395" s="32" t="s">
        <v>2183</v>
      </c>
      <c r="F395" s="32" t="s">
        <v>237</v>
      </c>
      <c r="G395" s="38" t="s">
        <v>117</v>
      </c>
      <c r="H395" s="32" t="s">
        <v>30</v>
      </c>
      <c r="I395" s="32" t="s">
        <v>243</v>
      </c>
      <c r="J395" s="32" t="s">
        <v>750</v>
      </c>
      <c r="K395" s="32" t="s">
        <v>129</v>
      </c>
      <c r="L395" s="32" t="s">
        <v>766</v>
      </c>
      <c r="M395" s="32" t="s">
        <v>765</v>
      </c>
      <c r="N395" s="40">
        <v>2013</v>
      </c>
      <c r="O395" s="32">
        <f>VLOOKUP(Data!N414, CPI!$A$2:$B$112, 2, 0)</f>
        <v>255.65700000000001</v>
      </c>
      <c r="P395" s="32" t="s">
        <v>238</v>
      </c>
      <c r="Q395" s="32" t="s">
        <v>239</v>
      </c>
      <c r="R395" s="32" t="s">
        <v>761</v>
      </c>
      <c r="S395" s="32">
        <v>33.57</v>
      </c>
      <c r="T395" s="32" t="s">
        <v>362</v>
      </c>
      <c r="U395" s="32">
        <f t="shared" si="20"/>
        <v>51.862053214285716</v>
      </c>
      <c r="V395" s="32" t="s">
        <v>316</v>
      </c>
      <c r="X395" s="32">
        <f t="shared" si="21"/>
        <v>51.862053214285716</v>
      </c>
      <c r="Y395" s="32">
        <f>(CPI!$B$112/O395)*X395</f>
        <v>61.806098881140073</v>
      </c>
      <c r="Z395" s="38" t="s">
        <v>262</v>
      </c>
      <c r="AA395" s="35" t="s">
        <v>1445</v>
      </c>
      <c r="AB395" s="32">
        <v>28000</v>
      </c>
      <c r="AC395" s="32" t="s">
        <v>2327</v>
      </c>
      <c r="AE395" s="32">
        <v>43257</v>
      </c>
      <c r="AH395" s="32" t="s">
        <v>411</v>
      </c>
      <c r="AJ395" s="35" t="s">
        <v>2328</v>
      </c>
      <c r="AK395" s="40" t="s">
        <v>767</v>
      </c>
      <c r="AL395" s="32">
        <v>2016</v>
      </c>
      <c r="AM395" s="32" t="s">
        <v>768</v>
      </c>
      <c r="AN395" s="32" t="s">
        <v>769</v>
      </c>
      <c r="AO395" s="38" t="s">
        <v>780</v>
      </c>
      <c r="AP395" s="35" t="s">
        <v>396</v>
      </c>
    </row>
    <row r="396" spans="1:42" x14ac:dyDescent="0.2">
      <c r="A396" s="40">
        <v>41</v>
      </c>
      <c r="B396" s="40">
        <v>395</v>
      </c>
      <c r="C396" s="40" t="s">
        <v>119</v>
      </c>
      <c r="D396" s="38" t="s">
        <v>128</v>
      </c>
      <c r="E396" s="32" t="s">
        <v>2183</v>
      </c>
      <c r="F396" s="32" t="s">
        <v>126</v>
      </c>
      <c r="G396" s="38" t="s">
        <v>153</v>
      </c>
      <c r="H396" s="32" t="s">
        <v>30</v>
      </c>
      <c r="I396" s="32" t="s">
        <v>243</v>
      </c>
      <c r="J396" s="32" t="s">
        <v>750</v>
      </c>
      <c r="K396" s="32" t="s">
        <v>129</v>
      </c>
      <c r="L396" s="32" t="s">
        <v>766</v>
      </c>
      <c r="M396" s="32" t="s">
        <v>765</v>
      </c>
      <c r="N396" s="40">
        <v>2013</v>
      </c>
      <c r="O396" s="32">
        <f>VLOOKUP(Data!N415, CPI!$A$2:$B$112, 2, 0)</f>
        <v>255.65700000000001</v>
      </c>
      <c r="P396" s="32" t="s">
        <v>238</v>
      </c>
      <c r="Q396" s="32" t="s">
        <v>239</v>
      </c>
      <c r="R396" s="32" t="s">
        <v>762</v>
      </c>
      <c r="S396" s="57">
        <v>1601.74</v>
      </c>
      <c r="T396" s="32" t="s">
        <v>362</v>
      </c>
      <c r="U396" s="32">
        <f t="shared" si="20"/>
        <v>2474.5166850000001</v>
      </c>
      <c r="V396" s="32" t="s">
        <v>316</v>
      </c>
      <c r="X396" s="32">
        <f t="shared" si="21"/>
        <v>2474.5166850000001</v>
      </c>
      <c r="Y396" s="32">
        <f>(CPI!$B$112/O396)*X396</f>
        <v>2948.9812577264611</v>
      </c>
      <c r="Z396" s="38" t="s">
        <v>262</v>
      </c>
      <c r="AA396" s="35" t="s">
        <v>1445</v>
      </c>
      <c r="AB396" s="32">
        <v>28000</v>
      </c>
      <c r="AC396" s="32" t="s">
        <v>2327</v>
      </c>
      <c r="AE396" s="32">
        <v>43257</v>
      </c>
      <c r="AH396" s="32" t="s">
        <v>411</v>
      </c>
      <c r="AJ396" s="35" t="s">
        <v>2328</v>
      </c>
      <c r="AK396" s="40" t="s">
        <v>767</v>
      </c>
      <c r="AL396" s="32">
        <v>2016</v>
      </c>
      <c r="AM396" s="32" t="s">
        <v>768</v>
      </c>
      <c r="AN396" s="32" t="s">
        <v>769</v>
      </c>
      <c r="AO396" s="38" t="s">
        <v>781</v>
      </c>
      <c r="AP396" s="35" t="s">
        <v>396</v>
      </c>
    </row>
    <row r="397" spans="1:42" x14ac:dyDescent="0.2">
      <c r="A397" s="40">
        <v>41</v>
      </c>
      <c r="B397" s="40">
        <v>396</v>
      </c>
      <c r="C397" s="40" t="s">
        <v>119</v>
      </c>
      <c r="D397" s="38" t="s">
        <v>128</v>
      </c>
      <c r="E397" s="32" t="s">
        <v>2183</v>
      </c>
      <c r="F397" s="32" t="s">
        <v>126</v>
      </c>
      <c r="G397" s="38" t="s">
        <v>127</v>
      </c>
      <c r="H397" s="32" t="s">
        <v>30</v>
      </c>
      <c r="I397" s="32" t="s">
        <v>243</v>
      </c>
      <c r="J397" s="32" t="s">
        <v>750</v>
      </c>
      <c r="K397" s="32" t="s">
        <v>129</v>
      </c>
      <c r="L397" s="32" t="s">
        <v>766</v>
      </c>
      <c r="M397" s="32" t="s">
        <v>765</v>
      </c>
      <c r="N397" s="40">
        <v>2013</v>
      </c>
      <c r="O397" s="32">
        <f>VLOOKUP(Data!N416, CPI!$A$2:$B$112, 2, 0)</f>
        <v>255.65700000000001</v>
      </c>
      <c r="P397" s="32" t="s">
        <v>238</v>
      </c>
      <c r="Q397" s="32" t="s">
        <v>239</v>
      </c>
      <c r="R397" s="32" t="s">
        <v>763</v>
      </c>
      <c r="S397" s="32">
        <v>50.34</v>
      </c>
      <c r="T397" s="32" t="s">
        <v>362</v>
      </c>
      <c r="U397" s="32">
        <f t="shared" si="20"/>
        <v>77.769906428571446</v>
      </c>
      <c r="V397" s="32" t="s">
        <v>316</v>
      </c>
      <c r="X397" s="32">
        <f t="shared" si="21"/>
        <v>77.769906428571446</v>
      </c>
      <c r="Y397" s="32">
        <f>(CPI!$B$112/O397)*X397</f>
        <v>92.681531655543395</v>
      </c>
      <c r="Z397" s="38" t="s">
        <v>262</v>
      </c>
      <c r="AA397" s="35" t="s">
        <v>1445</v>
      </c>
      <c r="AB397" s="32">
        <v>28000</v>
      </c>
      <c r="AC397" s="32" t="s">
        <v>2327</v>
      </c>
      <c r="AE397" s="32">
        <v>43257</v>
      </c>
      <c r="AH397" s="32" t="s">
        <v>411</v>
      </c>
      <c r="AJ397" s="35" t="s">
        <v>2328</v>
      </c>
      <c r="AK397" s="40" t="s">
        <v>767</v>
      </c>
      <c r="AL397" s="32">
        <v>2016</v>
      </c>
      <c r="AM397" s="32" t="s">
        <v>768</v>
      </c>
      <c r="AN397" s="32" t="s">
        <v>769</v>
      </c>
      <c r="AO397" s="38" t="s">
        <v>782</v>
      </c>
      <c r="AP397" s="35" t="s">
        <v>396</v>
      </c>
    </row>
    <row r="398" spans="1:42" x14ac:dyDescent="0.2">
      <c r="A398" s="40">
        <v>41</v>
      </c>
      <c r="B398" s="40">
        <v>397</v>
      </c>
      <c r="C398" s="40" t="s">
        <v>119</v>
      </c>
      <c r="D398" s="38" t="s">
        <v>128</v>
      </c>
      <c r="E398" s="32" t="s">
        <v>2183</v>
      </c>
      <c r="F398" s="32" t="s">
        <v>126</v>
      </c>
      <c r="G398" s="38" t="s">
        <v>2910</v>
      </c>
      <c r="H398" s="32" t="s">
        <v>30</v>
      </c>
      <c r="I398" s="32" t="s">
        <v>243</v>
      </c>
      <c r="J398" s="32" t="s">
        <v>750</v>
      </c>
      <c r="K398" s="32" t="s">
        <v>129</v>
      </c>
      <c r="L398" s="32" t="s">
        <v>766</v>
      </c>
      <c r="M398" s="32" t="s">
        <v>765</v>
      </c>
      <c r="N398" s="40">
        <v>2013</v>
      </c>
      <c r="O398" s="32">
        <f>VLOOKUP(Data!N417, CPI!$A$2:$B$112, 2, 0)</f>
        <v>237.017</v>
      </c>
      <c r="P398" s="32" t="s">
        <v>238</v>
      </c>
      <c r="Q398" s="32" t="s">
        <v>239</v>
      </c>
      <c r="R398" s="32" t="s">
        <v>764</v>
      </c>
      <c r="S398" s="32">
        <v>282.75</v>
      </c>
      <c r="T398" s="32" t="s">
        <v>362</v>
      </c>
      <c r="U398" s="32">
        <f t="shared" si="20"/>
        <v>436.81845535714285</v>
      </c>
      <c r="V398" s="32" t="s">
        <v>316</v>
      </c>
      <c r="X398" s="32">
        <f t="shared" si="21"/>
        <v>436.81845535714285</v>
      </c>
      <c r="Y398" s="32">
        <f>(CPI!$B$112/O398)*X398</f>
        <v>561.51426825178953</v>
      </c>
      <c r="Z398" s="38" t="s">
        <v>262</v>
      </c>
      <c r="AA398" s="35" t="s">
        <v>1445</v>
      </c>
      <c r="AB398" s="32">
        <v>28000</v>
      </c>
      <c r="AC398" s="32" t="s">
        <v>2327</v>
      </c>
      <c r="AE398" s="32">
        <v>43257</v>
      </c>
      <c r="AH398" s="32" t="s">
        <v>411</v>
      </c>
      <c r="AJ398" s="35" t="s">
        <v>2328</v>
      </c>
      <c r="AK398" s="40" t="s">
        <v>767</v>
      </c>
      <c r="AL398" s="32">
        <v>2016</v>
      </c>
      <c r="AM398" s="32" t="s">
        <v>768</v>
      </c>
      <c r="AN398" s="32" t="s">
        <v>769</v>
      </c>
      <c r="AO398" s="38" t="s">
        <v>783</v>
      </c>
      <c r="AP398" s="35" t="s">
        <v>396</v>
      </c>
    </row>
    <row r="399" spans="1:42" x14ac:dyDescent="0.2">
      <c r="A399" s="40">
        <v>41</v>
      </c>
      <c r="B399" s="40">
        <v>398</v>
      </c>
      <c r="C399" s="40" t="s">
        <v>119</v>
      </c>
      <c r="D399" s="38" t="s">
        <v>128</v>
      </c>
      <c r="E399" s="32" t="s">
        <v>2186</v>
      </c>
      <c r="F399" s="32" t="s">
        <v>29</v>
      </c>
      <c r="G399" s="38" t="s">
        <v>29</v>
      </c>
      <c r="H399" s="32" t="s">
        <v>30</v>
      </c>
      <c r="I399" s="32" t="s">
        <v>243</v>
      </c>
      <c r="J399" s="32" t="s">
        <v>750</v>
      </c>
      <c r="K399" s="32" t="s">
        <v>129</v>
      </c>
      <c r="L399" s="32" t="s">
        <v>766</v>
      </c>
      <c r="M399" s="32" t="s">
        <v>765</v>
      </c>
      <c r="N399" s="40">
        <v>2014</v>
      </c>
      <c r="O399" s="32">
        <f>VLOOKUP(Data!N1381, CPI!$A$2:$B$112, 2, 0)</f>
        <v>163</v>
      </c>
      <c r="P399" s="32" t="s">
        <v>238</v>
      </c>
      <c r="Q399" s="32" t="s">
        <v>239</v>
      </c>
      <c r="R399" s="32" t="s">
        <v>784</v>
      </c>
      <c r="S399" s="57">
        <v>530</v>
      </c>
      <c r="T399" s="32" t="s">
        <v>300</v>
      </c>
      <c r="Z399" s="38" t="s">
        <v>262</v>
      </c>
      <c r="AA399" s="35" t="s">
        <v>1412</v>
      </c>
      <c r="AB399" s="32" t="s">
        <v>30</v>
      </c>
      <c r="AH399" s="32" t="s">
        <v>411</v>
      </c>
      <c r="AI399" s="32" t="s">
        <v>2268</v>
      </c>
      <c r="AK399" s="40" t="s">
        <v>767</v>
      </c>
      <c r="AL399" s="32">
        <v>2016</v>
      </c>
      <c r="AM399" s="32" t="s">
        <v>768</v>
      </c>
      <c r="AN399" s="32" t="s">
        <v>769</v>
      </c>
      <c r="AO399" s="38" t="s">
        <v>783</v>
      </c>
      <c r="AP399" s="35" t="s">
        <v>396</v>
      </c>
    </row>
    <row r="400" spans="1:42" x14ac:dyDescent="0.2">
      <c r="A400" s="40">
        <v>41</v>
      </c>
      <c r="B400" s="40">
        <v>399</v>
      </c>
      <c r="C400" s="40" t="s">
        <v>119</v>
      </c>
      <c r="D400" s="38" t="s">
        <v>128</v>
      </c>
      <c r="E400" s="32" t="s">
        <v>2186</v>
      </c>
      <c r="F400" s="32" t="s">
        <v>29</v>
      </c>
      <c r="G400" s="38" t="s">
        <v>29</v>
      </c>
      <c r="H400" s="32" t="s">
        <v>30</v>
      </c>
      <c r="I400" s="32" t="s">
        <v>243</v>
      </c>
      <c r="J400" s="32" t="s">
        <v>750</v>
      </c>
      <c r="K400" s="32" t="s">
        <v>129</v>
      </c>
      <c r="L400" s="32" t="s">
        <v>766</v>
      </c>
      <c r="M400" s="32" t="s">
        <v>765</v>
      </c>
      <c r="N400" s="40">
        <v>2015</v>
      </c>
      <c r="O400" s="32">
        <f>VLOOKUP(Data!N1382, CPI!$A$2:$B$112, 2, 0)</f>
        <v>163</v>
      </c>
      <c r="P400" s="32" t="s">
        <v>238</v>
      </c>
      <c r="Q400" s="32" t="s">
        <v>239</v>
      </c>
      <c r="R400" s="32" t="s">
        <v>785</v>
      </c>
      <c r="S400" s="57">
        <v>705</v>
      </c>
      <c r="T400" s="32" t="s">
        <v>300</v>
      </c>
      <c r="Z400" s="38" t="s">
        <v>262</v>
      </c>
      <c r="AA400" s="35" t="s">
        <v>1412</v>
      </c>
      <c r="AB400" s="32" t="s">
        <v>30</v>
      </c>
      <c r="AH400" s="32" t="s">
        <v>411</v>
      </c>
      <c r="AI400" s="32" t="s">
        <v>2268</v>
      </c>
      <c r="AK400" s="40" t="s">
        <v>767</v>
      </c>
      <c r="AL400" s="32">
        <v>2016</v>
      </c>
      <c r="AM400" s="32" t="s">
        <v>768</v>
      </c>
      <c r="AN400" s="32" t="s">
        <v>769</v>
      </c>
      <c r="AO400" s="38" t="s">
        <v>783</v>
      </c>
      <c r="AP400" s="35" t="s">
        <v>396</v>
      </c>
    </row>
    <row r="401" spans="1:42" x14ac:dyDescent="0.2">
      <c r="A401" s="40">
        <v>41</v>
      </c>
      <c r="B401" s="40">
        <v>400</v>
      </c>
      <c r="C401" s="40" t="s">
        <v>119</v>
      </c>
      <c r="D401" s="38" t="s">
        <v>128</v>
      </c>
      <c r="E401" s="32" t="s">
        <v>2186</v>
      </c>
      <c r="F401" s="32" t="s">
        <v>29</v>
      </c>
      <c r="G401" s="38" t="s">
        <v>29</v>
      </c>
      <c r="H401" s="32" t="s">
        <v>30</v>
      </c>
      <c r="I401" s="32" t="s">
        <v>243</v>
      </c>
      <c r="J401" s="32" t="s">
        <v>750</v>
      </c>
      <c r="K401" s="32" t="s">
        <v>129</v>
      </c>
      <c r="L401" s="32" t="s">
        <v>766</v>
      </c>
      <c r="M401" s="32" t="s">
        <v>765</v>
      </c>
      <c r="N401" s="40">
        <v>2016</v>
      </c>
      <c r="O401" s="32">
        <f>VLOOKUP(Data!N1383, CPI!$A$2:$B$112, 2, 0)</f>
        <v>163</v>
      </c>
      <c r="P401" s="32" t="s">
        <v>238</v>
      </c>
      <c r="Q401" s="32" t="s">
        <v>239</v>
      </c>
      <c r="R401" s="32" t="s">
        <v>786</v>
      </c>
      <c r="S401" s="57">
        <v>725</v>
      </c>
      <c r="T401" s="32" t="s">
        <v>300</v>
      </c>
      <c r="Z401" s="38" t="s">
        <v>262</v>
      </c>
      <c r="AA401" s="35" t="s">
        <v>1412</v>
      </c>
      <c r="AB401" s="32" t="s">
        <v>30</v>
      </c>
      <c r="AH401" s="32" t="s">
        <v>411</v>
      </c>
      <c r="AI401" s="32" t="s">
        <v>2268</v>
      </c>
      <c r="AK401" s="40" t="s">
        <v>767</v>
      </c>
      <c r="AL401" s="32">
        <v>2016</v>
      </c>
      <c r="AM401" s="32" t="s">
        <v>768</v>
      </c>
      <c r="AN401" s="32" t="s">
        <v>769</v>
      </c>
      <c r="AO401" s="38" t="s">
        <v>783</v>
      </c>
      <c r="AP401" s="35" t="s">
        <v>396</v>
      </c>
    </row>
    <row r="402" spans="1:42" x14ac:dyDescent="0.2">
      <c r="A402" s="40">
        <v>41</v>
      </c>
      <c r="B402" s="40">
        <v>401</v>
      </c>
      <c r="C402" s="40" t="s">
        <v>119</v>
      </c>
      <c r="D402" s="38" t="s">
        <v>128</v>
      </c>
      <c r="E402" s="32" t="s">
        <v>2186</v>
      </c>
      <c r="F402" s="32" t="s">
        <v>29</v>
      </c>
      <c r="G402" s="38" t="s">
        <v>29</v>
      </c>
      <c r="H402" s="32" t="s">
        <v>30</v>
      </c>
      <c r="I402" s="32" t="s">
        <v>243</v>
      </c>
      <c r="J402" s="32" t="s">
        <v>750</v>
      </c>
      <c r="K402" s="32" t="s">
        <v>129</v>
      </c>
      <c r="L402" s="32" t="s">
        <v>766</v>
      </c>
      <c r="M402" s="32" t="s">
        <v>765</v>
      </c>
      <c r="N402" s="40">
        <v>2017</v>
      </c>
      <c r="O402" s="32">
        <f>VLOOKUP(Data!N1384, CPI!$A$2:$B$112, 2, 0)</f>
        <v>163</v>
      </c>
      <c r="P402" s="32" t="s">
        <v>238</v>
      </c>
      <c r="Q402" s="32" t="s">
        <v>239</v>
      </c>
      <c r="R402" s="32" t="s">
        <v>787</v>
      </c>
      <c r="S402" s="57">
        <v>740</v>
      </c>
      <c r="T402" s="32" t="s">
        <v>300</v>
      </c>
      <c r="Z402" s="38" t="s">
        <v>262</v>
      </c>
      <c r="AA402" s="35" t="s">
        <v>1412</v>
      </c>
      <c r="AB402" s="32" t="s">
        <v>30</v>
      </c>
      <c r="AH402" s="32" t="s">
        <v>411</v>
      </c>
      <c r="AI402" s="32" t="s">
        <v>2268</v>
      </c>
      <c r="AK402" s="40" t="s">
        <v>767</v>
      </c>
      <c r="AL402" s="32">
        <v>2016</v>
      </c>
      <c r="AM402" s="32" t="s">
        <v>768</v>
      </c>
      <c r="AN402" s="32" t="s">
        <v>769</v>
      </c>
      <c r="AO402" s="38" t="s">
        <v>783</v>
      </c>
      <c r="AP402" s="35" t="s">
        <v>396</v>
      </c>
    </row>
    <row r="403" spans="1:42" x14ac:dyDescent="0.2">
      <c r="A403" s="40">
        <v>41</v>
      </c>
      <c r="B403" s="40">
        <v>402</v>
      </c>
      <c r="C403" s="40" t="s">
        <v>119</v>
      </c>
      <c r="D403" s="38" t="s">
        <v>128</v>
      </c>
      <c r="E403" s="32" t="s">
        <v>2186</v>
      </c>
      <c r="F403" s="32" t="s">
        <v>29</v>
      </c>
      <c r="G403" s="38" t="s">
        <v>29</v>
      </c>
      <c r="H403" s="32" t="s">
        <v>30</v>
      </c>
      <c r="I403" s="32" t="s">
        <v>243</v>
      </c>
      <c r="J403" s="32" t="s">
        <v>750</v>
      </c>
      <c r="K403" s="32" t="s">
        <v>129</v>
      </c>
      <c r="L403" s="32" t="s">
        <v>766</v>
      </c>
      <c r="M403" s="32" t="s">
        <v>765</v>
      </c>
      <c r="N403" s="40">
        <v>2018</v>
      </c>
      <c r="O403" s="32">
        <f>VLOOKUP(Data!N1385, CPI!$A$2:$B$112, 2, 0)</f>
        <v>163</v>
      </c>
      <c r="P403" s="32" t="s">
        <v>238</v>
      </c>
      <c r="Q403" s="32" t="s">
        <v>239</v>
      </c>
      <c r="R403" s="32" t="s">
        <v>788</v>
      </c>
      <c r="S403" s="57">
        <v>796</v>
      </c>
      <c r="T403" s="32" t="s">
        <v>300</v>
      </c>
      <c r="Z403" s="38" t="s">
        <v>262</v>
      </c>
      <c r="AA403" s="35" t="s">
        <v>1412</v>
      </c>
      <c r="AB403" s="32" t="s">
        <v>30</v>
      </c>
      <c r="AH403" s="32" t="s">
        <v>411</v>
      </c>
      <c r="AI403" s="32" t="s">
        <v>2268</v>
      </c>
      <c r="AK403" s="40" t="s">
        <v>767</v>
      </c>
      <c r="AL403" s="32">
        <v>2016</v>
      </c>
      <c r="AM403" s="32" t="s">
        <v>768</v>
      </c>
      <c r="AN403" s="32" t="s">
        <v>769</v>
      </c>
      <c r="AO403" s="38" t="s">
        <v>783</v>
      </c>
      <c r="AP403" s="35" t="s">
        <v>396</v>
      </c>
    </row>
    <row r="404" spans="1:42" x14ac:dyDescent="0.2">
      <c r="A404" s="40">
        <v>42</v>
      </c>
      <c r="B404" s="40">
        <v>403</v>
      </c>
      <c r="C404" s="40" t="s">
        <v>241</v>
      </c>
      <c r="D404" s="38" t="s">
        <v>241</v>
      </c>
      <c r="E404" s="32" t="s">
        <v>2183</v>
      </c>
      <c r="F404" s="32" t="s">
        <v>244</v>
      </c>
      <c r="G404" s="38" t="s">
        <v>251</v>
      </c>
      <c r="H404" s="32" t="s">
        <v>151</v>
      </c>
      <c r="I404" s="32" t="s">
        <v>243</v>
      </c>
      <c r="J404" s="32" t="s">
        <v>789</v>
      </c>
      <c r="K404" s="32" t="s">
        <v>129</v>
      </c>
      <c r="L404" s="32" t="s">
        <v>30</v>
      </c>
      <c r="M404" s="32" t="s">
        <v>30</v>
      </c>
      <c r="N404" s="40">
        <v>2014</v>
      </c>
      <c r="O404" s="32">
        <f>VLOOKUP(Data!N1386, CPI!$A$2:$B$112, 2, 0)</f>
        <v>163</v>
      </c>
      <c r="P404" s="32" t="s">
        <v>238</v>
      </c>
      <c r="Q404" s="32" t="s">
        <v>239</v>
      </c>
      <c r="R404" s="32" t="s">
        <v>791</v>
      </c>
      <c r="S404" s="32">
        <v>0.27</v>
      </c>
      <c r="T404" s="32" t="s">
        <v>790</v>
      </c>
      <c r="Z404" s="38" t="s">
        <v>262</v>
      </c>
      <c r="AA404" s="35" t="s">
        <v>2329</v>
      </c>
      <c r="AB404" s="32" t="s">
        <v>30</v>
      </c>
      <c r="AH404" s="32" t="s">
        <v>397</v>
      </c>
      <c r="AI404" s="32" t="s">
        <v>2268</v>
      </c>
      <c r="AK404" s="40" t="s">
        <v>792</v>
      </c>
      <c r="AL404" s="32">
        <v>2020</v>
      </c>
      <c r="AM404" s="32" t="s">
        <v>793</v>
      </c>
      <c r="AN404" s="32" t="s">
        <v>794</v>
      </c>
      <c r="AO404" s="38" t="s">
        <v>795</v>
      </c>
      <c r="AP404" s="35" t="s">
        <v>396</v>
      </c>
    </row>
    <row r="405" spans="1:42" x14ac:dyDescent="0.2">
      <c r="A405" s="40">
        <v>43</v>
      </c>
      <c r="B405" s="40">
        <v>404</v>
      </c>
      <c r="C405" s="40" t="s">
        <v>249</v>
      </c>
      <c r="D405" s="38" t="s">
        <v>170</v>
      </c>
      <c r="E405" s="32" t="s">
        <v>2183</v>
      </c>
      <c r="F405" s="32" t="s">
        <v>48</v>
      </c>
      <c r="G405" s="38" t="s">
        <v>67</v>
      </c>
      <c r="H405" s="32" t="s">
        <v>151</v>
      </c>
      <c r="I405" s="32" t="s">
        <v>243</v>
      </c>
      <c r="J405" s="32" t="s">
        <v>568</v>
      </c>
      <c r="K405" s="32" t="s">
        <v>129</v>
      </c>
      <c r="L405" s="32" t="s">
        <v>796</v>
      </c>
      <c r="M405" s="32" t="s">
        <v>797</v>
      </c>
      <c r="N405" s="40">
        <v>2007</v>
      </c>
      <c r="O405" s="32">
        <f>VLOOKUP(Data!N418, CPI!$A$2:$B$112, 2, 0)</f>
        <v>237.017</v>
      </c>
      <c r="P405" s="32" t="s">
        <v>56</v>
      </c>
      <c r="Q405" s="32" t="s">
        <v>4</v>
      </c>
      <c r="R405" s="32" t="s">
        <v>2334</v>
      </c>
      <c r="S405" s="32">
        <v>192.86</v>
      </c>
      <c r="T405" s="32" t="s">
        <v>608</v>
      </c>
      <c r="U405" s="32">
        <f>(S405*(754/3.5))/AB405</f>
        <v>0.33805983959084041</v>
      </c>
      <c r="V405" s="32" t="s">
        <v>316</v>
      </c>
      <c r="X405" s="32">
        <f>U405</f>
        <v>0.33805983959084041</v>
      </c>
      <c r="Y405" s="32">
        <f>(CPI!$B$112/O405)*X405</f>
        <v>0.43456365253150026</v>
      </c>
      <c r="Z405" s="38" t="s">
        <v>262</v>
      </c>
      <c r="AA405" s="35" t="s">
        <v>2330</v>
      </c>
      <c r="AB405" s="32">
        <v>122900</v>
      </c>
      <c r="AC405" s="32" t="s">
        <v>2333</v>
      </c>
      <c r="AH405" s="32" t="s">
        <v>411</v>
      </c>
      <c r="AJ405" s="36" t="s">
        <v>2337</v>
      </c>
      <c r="AK405" s="40" t="s">
        <v>798</v>
      </c>
      <c r="AL405" s="32">
        <v>2009</v>
      </c>
      <c r="AM405" s="32" t="s">
        <v>799</v>
      </c>
      <c r="AN405" s="32" t="s">
        <v>800</v>
      </c>
      <c r="AO405" s="38" t="s">
        <v>801</v>
      </c>
      <c r="AP405" s="35" t="s">
        <v>396</v>
      </c>
    </row>
    <row r="406" spans="1:42" x14ac:dyDescent="0.2">
      <c r="A406" s="40">
        <v>43</v>
      </c>
      <c r="B406" s="40">
        <v>405</v>
      </c>
      <c r="C406" s="40" t="s">
        <v>249</v>
      </c>
      <c r="D406" s="38" t="s">
        <v>170</v>
      </c>
      <c r="E406" s="32" t="s">
        <v>2183</v>
      </c>
      <c r="F406" s="32" t="s">
        <v>48</v>
      </c>
      <c r="G406" s="38" t="s">
        <v>67</v>
      </c>
      <c r="H406" s="32" t="s">
        <v>151</v>
      </c>
      <c r="I406" s="32" t="s">
        <v>243</v>
      </c>
      <c r="J406" s="32" t="s">
        <v>568</v>
      </c>
      <c r="K406" s="32" t="s">
        <v>129</v>
      </c>
      <c r="L406" s="32" t="s">
        <v>796</v>
      </c>
      <c r="M406" s="32" t="s">
        <v>797</v>
      </c>
      <c r="N406" s="40">
        <v>2007</v>
      </c>
      <c r="O406" s="32">
        <f>VLOOKUP(Data!N419, CPI!$A$2:$B$112, 2, 0)</f>
        <v>237.017</v>
      </c>
      <c r="P406" s="32" t="s">
        <v>56</v>
      </c>
      <c r="Q406" s="32" t="s">
        <v>4</v>
      </c>
      <c r="R406" s="32" t="s">
        <v>2335</v>
      </c>
      <c r="S406" s="32">
        <v>28.57</v>
      </c>
      <c r="T406" s="32" t="s">
        <v>608</v>
      </c>
      <c r="U406" s="32">
        <f>(S406*(1844/3.5))/AB406</f>
        <v>0.12247606648843427</v>
      </c>
      <c r="V406" s="32" t="s">
        <v>316</v>
      </c>
      <c r="X406" s="32">
        <f>U406</f>
        <v>0.12247606648843427</v>
      </c>
      <c r="Y406" s="32">
        <f>(CPI!$B$112/O406)*X406</f>
        <v>0.1574385377018529</v>
      </c>
      <c r="Z406" s="38" t="s">
        <v>262</v>
      </c>
      <c r="AA406" s="35" t="s">
        <v>2330</v>
      </c>
      <c r="AB406" s="32">
        <v>122900</v>
      </c>
      <c r="AC406" s="32" t="s">
        <v>2333</v>
      </c>
      <c r="AH406" s="32" t="s">
        <v>411</v>
      </c>
      <c r="AJ406" s="36" t="s">
        <v>2337</v>
      </c>
      <c r="AK406" s="40" t="s">
        <v>798</v>
      </c>
      <c r="AL406" s="32">
        <v>2009</v>
      </c>
      <c r="AM406" s="32" t="s">
        <v>799</v>
      </c>
      <c r="AN406" s="32" t="s">
        <v>800</v>
      </c>
      <c r="AO406" s="38" t="s">
        <v>801</v>
      </c>
      <c r="AP406" s="35" t="s">
        <v>396</v>
      </c>
    </row>
    <row r="407" spans="1:42" x14ac:dyDescent="0.2">
      <c r="A407" s="40">
        <v>43</v>
      </c>
      <c r="B407" s="40">
        <v>406</v>
      </c>
      <c r="C407" s="40" t="s">
        <v>249</v>
      </c>
      <c r="D407" s="38" t="s">
        <v>170</v>
      </c>
      <c r="E407" s="32" t="s">
        <v>2183</v>
      </c>
      <c r="F407" s="32" t="s">
        <v>48</v>
      </c>
      <c r="G407" s="38" t="s">
        <v>67</v>
      </c>
      <c r="H407" s="32" t="s">
        <v>151</v>
      </c>
      <c r="I407" s="32" t="s">
        <v>243</v>
      </c>
      <c r="J407" s="32" t="s">
        <v>568</v>
      </c>
      <c r="K407" s="32" t="s">
        <v>129</v>
      </c>
      <c r="L407" s="32" t="s">
        <v>796</v>
      </c>
      <c r="M407" s="32" t="s">
        <v>797</v>
      </c>
      <c r="N407" s="40">
        <v>2007</v>
      </c>
      <c r="O407" s="32">
        <f>VLOOKUP(Data!N420, CPI!$A$2:$B$112, 2, 0)</f>
        <v>237.017</v>
      </c>
      <c r="P407" s="32" t="s">
        <v>56</v>
      </c>
      <c r="Q407" s="32" t="s">
        <v>4</v>
      </c>
      <c r="R407" s="32" t="s">
        <v>2336</v>
      </c>
      <c r="S407" s="32">
        <v>85.71</v>
      </c>
      <c r="T407" s="32" t="s">
        <v>608</v>
      </c>
      <c r="U407" s="32">
        <f>(S407*(80/3.5))/AB407</f>
        <v>1.5940485877019642E-2</v>
      </c>
      <c r="V407" s="32" t="s">
        <v>316</v>
      </c>
      <c r="X407" s="32">
        <f>U407</f>
        <v>1.5940485877019642E-2</v>
      </c>
      <c r="Y407" s="32">
        <f>(CPI!$B$112/O407)*X407</f>
        <v>2.0490915969872393E-2</v>
      </c>
      <c r="Z407" s="38" t="s">
        <v>262</v>
      </c>
      <c r="AA407" s="35" t="s">
        <v>2330</v>
      </c>
      <c r="AB407" s="32">
        <v>122900</v>
      </c>
      <c r="AC407" s="32" t="s">
        <v>2333</v>
      </c>
      <c r="AH407" s="32" t="s">
        <v>411</v>
      </c>
      <c r="AJ407" s="36" t="s">
        <v>2337</v>
      </c>
      <c r="AK407" s="40" t="s">
        <v>798</v>
      </c>
      <c r="AL407" s="32">
        <v>2009</v>
      </c>
      <c r="AM407" s="32" t="s">
        <v>799</v>
      </c>
      <c r="AN407" s="32" t="s">
        <v>800</v>
      </c>
      <c r="AO407" s="38" t="s">
        <v>801</v>
      </c>
      <c r="AP407" s="35" t="s">
        <v>396</v>
      </c>
    </row>
    <row r="408" spans="1:42" x14ac:dyDescent="0.2">
      <c r="A408" s="40">
        <v>43</v>
      </c>
      <c r="B408" s="40">
        <v>407</v>
      </c>
      <c r="C408" s="40" t="s">
        <v>249</v>
      </c>
      <c r="D408" s="38" t="s">
        <v>170</v>
      </c>
      <c r="E408" s="32" t="s">
        <v>2183</v>
      </c>
      <c r="F408" s="32" t="s">
        <v>48</v>
      </c>
      <c r="G408" s="38" t="s">
        <v>67</v>
      </c>
      <c r="H408" s="32" t="s">
        <v>151</v>
      </c>
      <c r="I408" s="32" t="s">
        <v>243</v>
      </c>
      <c r="J408" s="32" t="s">
        <v>568</v>
      </c>
      <c r="K408" s="32" t="s">
        <v>129</v>
      </c>
      <c r="L408" s="32" t="s">
        <v>796</v>
      </c>
      <c r="M408" s="32" t="s">
        <v>797</v>
      </c>
      <c r="N408" s="40">
        <v>2007</v>
      </c>
      <c r="O408" s="32">
        <f>VLOOKUP(Data!N421, CPI!$A$2:$B$112, 2, 0)</f>
        <v>237.017</v>
      </c>
      <c r="P408" s="32" t="s">
        <v>56</v>
      </c>
      <c r="Q408" s="32" t="s">
        <v>4</v>
      </c>
      <c r="R408" s="32" t="s">
        <v>2332</v>
      </c>
      <c r="S408" s="32">
        <v>3400</v>
      </c>
      <c r="T408" s="32" t="s">
        <v>608</v>
      </c>
      <c r="U408" s="32">
        <f>(S408*13)/AB408</f>
        <v>0.35964198535394631</v>
      </c>
      <c r="V408" s="32" t="s">
        <v>316</v>
      </c>
      <c r="X408" s="32">
        <f>U408</f>
        <v>0.35964198535394631</v>
      </c>
      <c r="Y408" s="32">
        <f>(CPI!$B$112/O408)*X408</f>
        <v>0.46230671749785024</v>
      </c>
      <c r="Z408" s="38" t="s">
        <v>262</v>
      </c>
      <c r="AA408" s="35" t="s">
        <v>2331</v>
      </c>
      <c r="AB408" s="32">
        <v>122900</v>
      </c>
      <c r="AC408" s="32" t="s">
        <v>2333</v>
      </c>
      <c r="AH408" s="32" t="s">
        <v>411</v>
      </c>
      <c r="AJ408" s="35" t="s">
        <v>2338</v>
      </c>
      <c r="AK408" s="40" t="s">
        <v>798</v>
      </c>
      <c r="AL408" s="32">
        <v>2009</v>
      </c>
      <c r="AM408" s="32" t="s">
        <v>799</v>
      </c>
      <c r="AN408" s="32" t="s">
        <v>800</v>
      </c>
      <c r="AO408" s="38" t="s">
        <v>801</v>
      </c>
      <c r="AP408" s="35" t="s">
        <v>396</v>
      </c>
    </row>
    <row r="409" spans="1:42" x14ac:dyDescent="0.2">
      <c r="A409" s="40">
        <v>44</v>
      </c>
      <c r="B409" s="40">
        <v>408</v>
      </c>
      <c r="C409" s="40" t="s">
        <v>39</v>
      </c>
      <c r="D409" s="38" t="s">
        <v>38</v>
      </c>
      <c r="E409" s="32" t="s">
        <v>2183</v>
      </c>
      <c r="F409" s="32" t="s">
        <v>237</v>
      </c>
      <c r="G409" s="36" t="s">
        <v>2907</v>
      </c>
      <c r="H409" s="32" t="s">
        <v>151</v>
      </c>
      <c r="I409" s="32" t="s">
        <v>243</v>
      </c>
      <c r="J409" s="32" t="s">
        <v>802</v>
      </c>
      <c r="K409" s="32" t="s">
        <v>129</v>
      </c>
      <c r="L409" s="32" t="s">
        <v>30</v>
      </c>
      <c r="M409" s="32" t="s">
        <v>30</v>
      </c>
      <c r="N409" s="40">
        <v>2009</v>
      </c>
      <c r="O409" s="32">
        <f>VLOOKUP(Data!N40, CPI!$A$2:$B$112, 2, 0)</f>
        <v>201.6</v>
      </c>
      <c r="P409" s="32" t="s">
        <v>7</v>
      </c>
      <c r="Q409" s="32" t="s">
        <v>239</v>
      </c>
      <c r="R409" s="32" t="s">
        <v>2339</v>
      </c>
      <c r="S409" s="32">
        <v>25968</v>
      </c>
      <c r="T409" s="32" t="s">
        <v>2211</v>
      </c>
      <c r="U409" s="32">
        <v>25968</v>
      </c>
      <c r="V409" s="32" t="s">
        <v>2211</v>
      </c>
      <c r="W409" s="32">
        <f>VLOOKUP(N409, 'Exchange rate-Kenya'!$A$3:$B$65, 2, 0)</f>
        <v>77.352012297578995</v>
      </c>
      <c r="X409" s="32">
        <f>U409/W409</f>
        <v>335.71201612828321</v>
      </c>
      <c r="Y409" s="32">
        <f>(CPI!$B$112/O409)*X409</f>
        <v>507.35935520790144</v>
      </c>
      <c r="Z409" s="38" t="s">
        <v>303</v>
      </c>
      <c r="AA409" s="35" t="s">
        <v>1412</v>
      </c>
      <c r="AB409" s="32">
        <v>331000</v>
      </c>
      <c r="AC409" s="32" t="s">
        <v>2342</v>
      </c>
      <c r="AG409">
        <v>13268</v>
      </c>
      <c r="AH409" s="32" t="s">
        <v>411</v>
      </c>
      <c r="AI409" s="32" t="s">
        <v>1539</v>
      </c>
      <c r="AK409" s="40" t="s">
        <v>2343</v>
      </c>
      <c r="AL409" s="32">
        <v>2018</v>
      </c>
      <c r="AM409" s="32" t="s">
        <v>2344</v>
      </c>
      <c r="AN409" s="32" t="s">
        <v>2345</v>
      </c>
      <c r="AP409" s="35" t="s">
        <v>396</v>
      </c>
    </row>
    <row r="410" spans="1:42" x14ac:dyDescent="0.2">
      <c r="A410" s="40">
        <v>44</v>
      </c>
      <c r="B410" s="40">
        <v>409</v>
      </c>
      <c r="C410" s="40" t="s">
        <v>39</v>
      </c>
      <c r="D410" s="38" t="s">
        <v>38</v>
      </c>
      <c r="E410" s="32" t="s">
        <v>2183</v>
      </c>
      <c r="F410" s="32" t="s">
        <v>237</v>
      </c>
      <c r="G410" s="36" t="s">
        <v>2907</v>
      </c>
      <c r="H410" s="32" t="s">
        <v>151</v>
      </c>
      <c r="I410" s="32" t="s">
        <v>243</v>
      </c>
      <c r="J410" s="32" t="s">
        <v>802</v>
      </c>
      <c r="K410" s="32" t="s">
        <v>129</v>
      </c>
      <c r="L410" s="32" t="s">
        <v>30</v>
      </c>
      <c r="M410" s="32" t="s">
        <v>30</v>
      </c>
      <c r="N410" s="40">
        <v>2009</v>
      </c>
      <c r="O410" s="32">
        <f>VLOOKUP(Data!N41, CPI!$A$2:$B$112, 2, 0)</f>
        <v>201.6</v>
      </c>
      <c r="P410" s="32" t="s">
        <v>7</v>
      </c>
      <c r="Q410" s="32" t="s">
        <v>239</v>
      </c>
      <c r="R410" s="32" t="s">
        <v>2340</v>
      </c>
      <c r="S410" s="32">
        <v>16976</v>
      </c>
      <c r="T410" s="32" t="s">
        <v>2211</v>
      </c>
      <c r="U410" s="32">
        <v>16976</v>
      </c>
      <c r="V410" s="32" t="s">
        <v>2211</v>
      </c>
      <c r="W410" s="32">
        <f>VLOOKUP(N410, 'Exchange rate-Kenya'!$A$3:$B$65, 2, 0)</f>
        <v>77.352012297578995</v>
      </c>
      <c r="X410" s="32">
        <f>U410/W410</f>
        <v>219.46423235496516</v>
      </c>
      <c r="Y410" s="32">
        <f>(CPI!$B$112/O410)*X410</f>
        <v>331.6748465037482</v>
      </c>
      <c r="Z410" s="38" t="s">
        <v>303</v>
      </c>
      <c r="AA410" s="35" t="s">
        <v>1412</v>
      </c>
      <c r="AB410" s="32">
        <v>331000</v>
      </c>
      <c r="AC410" s="32" t="s">
        <v>2342</v>
      </c>
      <c r="AG410">
        <v>13943.166666666701</v>
      </c>
      <c r="AH410" s="32" t="s">
        <v>411</v>
      </c>
      <c r="AI410" s="32" t="s">
        <v>1539</v>
      </c>
      <c r="AK410" s="40" t="s">
        <v>2343</v>
      </c>
      <c r="AL410" s="32">
        <v>2018</v>
      </c>
      <c r="AM410" s="32" t="s">
        <v>2344</v>
      </c>
      <c r="AN410" s="32" t="s">
        <v>2345</v>
      </c>
      <c r="AP410" s="35" t="s">
        <v>396</v>
      </c>
    </row>
    <row r="411" spans="1:42" x14ac:dyDescent="0.2">
      <c r="A411" s="40">
        <v>44</v>
      </c>
      <c r="B411" s="40">
        <v>410</v>
      </c>
      <c r="C411" s="40" t="s">
        <v>39</v>
      </c>
      <c r="D411" s="38" t="s">
        <v>38</v>
      </c>
      <c r="E411" s="32" t="s">
        <v>2183</v>
      </c>
      <c r="F411" s="32" t="s">
        <v>237</v>
      </c>
      <c r="G411" s="36" t="s">
        <v>2907</v>
      </c>
      <c r="H411" s="32" t="s">
        <v>151</v>
      </c>
      <c r="I411" s="32" t="s">
        <v>243</v>
      </c>
      <c r="J411" s="32" t="s">
        <v>802</v>
      </c>
      <c r="K411" s="32" t="s">
        <v>129</v>
      </c>
      <c r="L411" s="32" t="s">
        <v>30</v>
      </c>
      <c r="M411" s="32" t="s">
        <v>30</v>
      </c>
      <c r="N411" s="40">
        <v>2009</v>
      </c>
      <c r="O411" s="32">
        <f>VLOOKUP(Data!N42, CPI!$A$2:$B$112, 2, 0)</f>
        <v>201.6</v>
      </c>
      <c r="P411" s="32" t="s">
        <v>7</v>
      </c>
      <c r="Q411" s="32" t="s">
        <v>239</v>
      </c>
      <c r="R411" s="32" t="s">
        <v>2341</v>
      </c>
      <c r="S411" s="32">
        <v>4944</v>
      </c>
      <c r="T411" s="32" t="s">
        <v>2211</v>
      </c>
      <c r="U411" s="32">
        <v>4944</v>
      </c>
      <c r="V411" s="32" t="s">
        <v>2211</v>
      </c>
      <c r="W411" s="32">
        <f>VLOOKUP(N411, 'Exchange rate-Kenya'!$A$3:$B$65, 2, 0)</f>
        <v>77.352012297578995</v>
      </c>
      <c r="X411" s="32">
        <f>U411/W411</f>
        <v>63.915596416290519</v>
      </c>
      <c r="Y411" s="32">
        <f>(CPI!$B$112/O411)*X411</f>
        <v>96.595219198546857</v>
      </c>
      <c r="Z411" s="38" t="s">
        <v>303</v>
      </c>
      <c r="AA411" s="35" t="s">
        <v>1412</v>
      </c>
      <c r="AB411" s="32">
        <v>331000</v>
      </c>
      <c r="AC411" s="32" t="s">
        <v>2342</v>
      </c>
      <c r="AG411">
        <v>14167.75</v>
      </c>
      <c r="AH411" s="32" t="s">
        <v>411</v>
      </c>
      <c r="AI411" s="32" t="s">
        <v>1539</v>
      </c>
      <c r="AK411" s="40" t="s">
        <v>2343</v>
      </c>
      <c r="AL411" s="32">
        <v>2018</v>
      </c>
      <c r="AM411" s="32" t="s">
        <v>2344</v>
      </c>
      <c r="AN411" s="32" t="s">
        <v>2345</v>
      </c>
      <c r="AP411" s="35" t="s">
        <v>396</v>
      </c>
    </row>
    <row r="412" spans="1:42" x14ac:dyDescent="0.2">
      <c r="A412" s="40">
        <v>45</v>
      </c>
      <c r="B412" s="40">
        <v>411</v>
      </c>
      <c r="C412" s="40" t="s">
        <v>249</v>
      </c>
      <c r="D412" s="38" t="s">
        <v>150</v>
      </c>
      <c r="E412" s="32" t="s">
        <v>2186</v>
      </c>
      <c r="F412" s="32" t="s">
        <v>21</v>
      </c>
      <c r="G412" s="38" t="s">
        <v>163</v>
      </c>
      <c r="H412" s="32" t="s">
        <v>151</v>
      </c>
      <c r="I412" s="32" t="s">
        <v>243</v>
      </c>
      <c r="J412" s="32" t="s">
        <v>437</v>
      </c>
      <c r="K412" s="32" t="s">
        <v>129</v>
      </c>
      <c r="L412" s="32" t="s">
        <v>30</v>
      </c>
      <c r="M412" s="32" t="s">
        <v>30</v>
      </c>
      <c r="N412" s="40">
        <v>2016</v>
      </c>
      <c r="O412" s="32">
        <f>VLOOKUP(Data!N422, CPI!$A$2:$B$112, 2, 0)</f>
        <v>237.017</v>
      </c>
      <c r="P412" s="32" t="s">
        <v>132</v>
      </c>
      <c r="Q412" s="32" t="s">
        <v>4</v>
      </c>
      <c r="R412" s="32" t="s">
        <v>803</v>
      </c>
      <c r="S412" s="32">
        <v>265.61</v>
      </c>
      <c r="T412" s="32" t="s">
        <v>603</v>
      </c>
      <c r="U412" s="32">
        <v>265.61</v>
      </c>
      <c r="V412" s="32" t="s">
        <v>316</v>
      </c>
      <c r="X412" s="32">
        <f t="shared" ref="X412:X429" si="22">U412</f>
        <v>265.61</v>
      </c>
      <c r="Y412" s="32">
        <f>(CPI!$B$112/O412)*X412</f>
        <v>341.4320136002903</v>
      </c>
      <c r="Z412" s="38" t="s">
        <v>262</v>
      </c>
      <c r="AA412" s="35" t="s">
        <v>2346</v>
      </c>
      <c r="AB412" s="32">
        <v>2948</v>
      </c>
      <c r="AC412" s="35" t="s">
        <v>2346</v>
      </c>
      <c r="AH412" s="32" t="s">
        <v>411</v>
      </c>
      <c r="AI412" s="32" t="s">
        <v>2347</v>
      </c>
      <c r="AK412" s="40" t="s">
        <v>805</v>
      </c>
      <c r="AL412" s="32">
        <v>2021</v>
      </c>
      <c r="AM412" s="32" t="s">
        <v>806</v>
      </c>
      <c r="AN412" s="32" t="s">
        <v>807</v>
      </c>
      <c r="AO412" s="38" t="s">
        <v>808</v>
      </c>
      <c r="AP412" s="35" t="s">
        <v>396</v>
      </c>
    </row>
    <row r="413" spans="1:42" x14ac:dyDescent="0.2">
      <c r="A413" s="40">
        <v>45</v>
      </c>
      <c r="B413" s="40">
        <v>412</v>
      </c>
      <c r="C413" s="40" t="s">
        <v>249</v>
      </c>
      <c r="D413" s="38" t="s">
        <v>150</v>
      </c>
      <c r="E413" s="32" t="s">
        <v>2186</v>
      </c>
      <c r="F413" s="32" t="s">
        <v>21</v>
      </c>
      <c r="G413" s="38" t="s">
        <v>163</v>
      </c>
      <c r="H413" s="32" t="s">
        <v>151</v>
      </c>
      <c r="I413" s="32" t="s">
        <v>243</v>
      </c>
      <c r="J413" s="32" t="s">
        <v>437</v>
      </c>
      <c r="K413" s="32" t="s">
        <v>129</v>
      </c>
      <c r="L413" s="32" t="s">
        <v>30</v>
      </c>
      <c r="M413" s="32" t="s">
        <v>30</v>
      </c>
      <c r="N413" s="40">
        <v>2016</v>
      </c>
      <c r="O413" s="32">
        <f>VLOOKUP(Data!N423, CPI!$A$2:$B$112, 2, 0)</f>
        <v>237.017</v>
      </c>
      <c r="P413" s="32" t="s">
        <v>132</v>
      </c>
      <c r="Q413" s="32" t="s">
        <v>4</v>
      </c>
      <c r="R413" s="32" t="s">
        <v>804</v>
      </c>
      <c r="S413" s="32">
        <v>546359.77</v>
      </c>
      <c r="T413" s="32" t="s">
        <v>603</v>
      </c>
      <c r="U413" s="32">
        <v>546359.77</v>
      </c>
      <c r="V413" s="32" t="s">
        <v>316</v>
      </c>
      <c r="X413" s="32">
        <f t="shared" si="22"/>
        <v>546359.77</v>
      </c>
      <c r="Y413" s="32">
        <f>(CPI!$B$112/O413)*X413</f>
        <v>702325.65197579714</v>
      </c>
      <c r="Z413" s="38" t="s">
        <v>262</v>
      </c>
      <c r="AA413" s="35" t="s">
        <v>2346</v>
      </c>
      <c r="AB413" s="32">
        <v>2948</v>
      </c>
      <c r="AC413" s="35" t="s">
        <v>2346</v>
      </c>
      <c r="AH413" s="32" t="s">
        <v>411</v>
      </c>
      <c r="AK413" s="40" t="s">
        <v>805</v>
      </c>
      <c r="AL413" s="32">
        <v>2021</v>
      </c>
      <c r="AM413" s="32" t="s">
        <v>806</v>
      </c>
      <c r="AN413" s="32" t="s">
        <v>807</v>
      </c>
      <c r="AO413" s="38" t="s">
        <v>808</v>
      </c>
      <c r="AP413" s="35" t="s">
        <v>396</v>
      </c>
    </row>
    <row r="414" spans="1:42" x14ac:dyDescent="0.2">
      <c r="A414" s="40">
        <v>46</v>
      </c>
      <c r="B414" s="40">
        <v>413</v>
      </c>
      <c r="C414" s="40" t="s">
        <v>357</v>
      </c>
      <c r="D414" s="38" t="s">
        <v>165</v>
      </c>
      <c r="E414" s="32" t="s">
        <v>2186</v>
      </c>
      <c r="F414" s="32" t="s">
        <v>108</v>
      </c>
      <c r="G414" s="38" t="s">
        <v>109</v>
      </c>
      <c r="H414" s="32" t="s">
        <v>151</v>
      </c>
      <c r="I414" s="32" t="s">
        <v>243</v>
      </c>
      <c r="J414" s="32" t="s">
        <v>368</v>
      </c>
      <c r="K414" s="32" t="s">
        <v>129</v>
      </c>
      <c r="L414" s="32" t="s">
        <v>30</v>
      </c>
      <c r="M414" s="32" t="s">
        <v>30</v>
      </c>
      <c r="N414" s="40">
        <v>2019</v>
      </c>
      <c r="O414" s="32">
        <f>VLOOKUP(Data!N424, CPI!$A$2:$B$112, 2, 0)</f>
        <v>237.017</v>
      </c>
      <c r="P414" s="32" t="s">
        <v>238</v>
      </c>
      <c r="Q414" s="32" t="s">
        <v>239</v>
      </c>
      <c r="R414" s="32" t="s">
        <v>809</v>
      </c>
      <c r="S414" s="32">
        <v>128000000</v>
      </c>
      <c r="T414" s="32" t="s">
        <v>300</v>
      </c>
      <c r="U414" s="32">
        <f t="shared" ref="U414:U423" si="23">S414/AB414</f>
        <v>13.473684210526315</v>
      </c>
      <c r="V414" s="32" t="s">
        <v>316</v>
      </c>
      <c r="X414" s="32">
        <f t="shared" si="22"/>
        <v>13.473684210526315</v>
      </c>
      <c r="Y414" s="32">
        <f>(CPI!$B$112/O414)*X414</f>
        <v>17.319931970236201</v>
      </c>
      <c r="Z414" s="38" t="s">
        <v>262</v>
      </c>
      <c r="AA414" s="32" t="s">
        <v>1449</v>
      </c>
      <c r="AB414" s="32">
        <v>9500000</v>
      </c>
      <c r="AC414" s="32" t="s">
        <v>2351</v>
      </c>
      <c r="AH414" s="32" t="s">
        <v>411</v>
      </c>
      <c r="AI414" s="32" t="s">
        <v>1539</v>
      </c>
      <c r="AJ414" s="35" t="s">
        <v>2278</v>
      </c>
      <c r="AK414" s="40" t="s">
        <v>817</v>
      </c>
      <c r="AL414" s="32">
        <v>2019</v>
      </c>
      <c r="AM414" s="32" t="s">
        <v>818</v>
      </c>
      <c r="AN414" s="32" t="s">
        <v>819</v>
      </c>
      <c r="AO414" s="38" t="s">
        <v>820</v>
      </c>
      <c r="AP414" s="35" t="s">
        <v>396</v>
      </c>
    </row>
    <row r="415" spans="1:42" x14ac:dyDescent="0.2">
      <c r="A415" s="40">
        <v>46</v>
      </c>
      <c r="B415" s="40">
        <v>414</v>
      </c>
      <c r="C415" s="40" t="s">
        <v>357</v>
      </c>
      <c r="D415" s="38" t="s">
        <v>165</v>
      </c>
      <c r="E415" s="32" t="s">
        <v>2183</v>
      </c>
      <c r="F415" s="32" t="s">
        <v>244</v>
      </c>
      <c r="G415" s="38" t="s">
        <v>251</v>
      </c>
      <c r="H415" s="32" t="s">
        <v>151</v>
      </c>
      <c r="I415" s="32" t="s">
        <v>243</v>
      </c>
      <c r="J415" s="32" t="s">
        <v>368</v>
      </c>
      <c r="K415" s="32" t="s">
        <v>129</v>
      </c>
      <c r="L415" s="32" t="s">
        <v>30</v>
      </c>
      <c r="M415" s="32" t="s">
        <v>30</v>
      </c>
      <c r="N415" s="40">
        <v>2019</v>
      </c>
      <c r="O415" s="32">
        <f>VLOOKUP(Data!N425, CPI!$A$2:$B$112, 2, 0)</f>
        <v>195.3</v>
      </c>
      <c r="P415" s="32" t="s">
        <v>238</v>
      </c>
      <c r="Q415" s="32" t="s">
        <v>239</v>
      </c>
      <c r="R415" s="32" t="s">
        <v>810</v>
      </c>
      <c r="S415" s="32">
        <v>9300000</v>
      </c>
      <c r="T415" s="32" t="s">
        <v>300</v>
      </c>
      <c r="U415" s="32">
        <f t="shared" si="23"/>
        <v>2021.7391304347825</v>
      </c>
      <c r="V415" s="32" t="s">
        <v>316</v>
      </c>
      <c r="X415" s="32">
        <f t="shared" si="22"/>
        <v>2021.7391304347825</v>
      </c>
      <c r="Y415" s="32">
        <f>(CPI!$B$112/O415)*X415</f>
        <v>3154.0036231884055</v>
      </c>
      <c r="Z415" s="38" t="s">
        <v>262</v>
      </c>
      <c r="AA415" s="32" t="s">
        <v>1449</v>
      </c>
      <c r="AB415" s="32">
        <f>2400+900+1300</f>
        <v>4600</v>
      </c>
      <c r="AC415" s="32" t="s">
        <v>2348</v>
      </c>
      <c r="AH415" s="32" t="s">
        <v>411</v>
      </c>
      <c r="AI415" s="32" t="s">
        <v>1539</v>
      </c>
      <c r="AJ415" s="35" t="s">
        <v>2278</v>
      </c>
      <c r="AK415" s="40" t="s">
        <v>817</v>
      </c>
      <c r="AL415" s="32">
        <v>2019</v>
      </c>
      <c r="AM415" s="32" t="s">
        <v>818</v>
      </c>
      <c r="AN415" s="32" t="s">
        <v>819</v>
      </c>
      <c r="AO415" s="38" t="s">
        <v>820</v>
      </c>
      <c r="AP415" s="35" t="s">
        <v>396</v>
      </c>
    </row>
    <row r="416" spans="1:42" x14ac:dyDescent="0.2">
      <c r="A416" s="40">
        <v>46</v>
      </c>
      <c r="B416" s="40">
        <v>415</v>
      </c>
      <c r="C416" s="40" t="s">
        <v>357</v>
      </c>
      <c r="D416" s="38" t="s">
        <v>165</v>
      </c>
      <c r="E416" s="32" t="s">
        <v>2183</v>
      </c>
      <c r="F416" s="32" t="s">
        <v>237</v>
      </c>
      <c r="G416" s="38" t="s">
        <v>154</v>
      </c>
      <c r="H416" s="32" t="s">
        <v>151</v>
      </c>
      <c r="I416" s="32" t="s">
        <v>243</v>
      </c>
      <c r="J416" s="32" t="s">
        <v>368</v>
      </c>
      <c r="K416" s="32" t="s">
        <v>129</v>
      </c>
      <c r="L416" s="32" t="s">
        <v>30</v>
      </c>
      <c r="M416" s="32" t="s">
        <v>30</v>
      </c>
      <c r="N416" s="40">
        <v>2019</v>
      </c>
      <c r="O416" s="32">
        <f>VLOOKUP(Data!N426, CPI!$A$2:$B$112, 2, 0)</f>
        <v>172.2</v>
      </c>
      <c r="P416" s="32" t="s">
        <v>238</v>
      </c>
      <c r="Q416" s="32" t="s">
        <v>239</v>
      </c>
      <c r="R416" s="32" t="s">
        <v>811</v>
      </c>
      <c r="S416" s="32">
        <v>2000000</v>
      </c>
      <c r="T416" s="32" t="s">
        <v>300</v>
      </c>
      <c r="U416" s="32">
        <f t="shared" si="23"/>
        <v>1.1858879335902757</v>
      </c>
      <c r="V416" s="32" t="s">
        <v>316</v>
      </c>
      <c r="X416" s="32">
        <f t="shared" si="22"/>
        <v>1.1858879335902757</v>
      </c>
      <c r="Y416" s="32">
        <f>(CPI!$B$112/O416)*X416</f>
        <v>2.0982141781097621</v>
      </c>
      <c r="Z416" s="38" t="s">
        <v>262</v>
      </c>
      <c r="AA416" s="32" t="s">
        <v>1449</v>
      </c>
      <c r="AB416" s="32">
        <f>733500+953000</f>
        <v>1686500</v>
      </c>
      <c r="AC416" s="32" t="s">
        <v>1447</v>
      </c>
      <c r="AH416" s="32" t="s">
        <v>411</v>
      </c>
      <c r="AI416" s="32" t="s">
        <v>1539</v>
      </c>
      <c r="AJ416" s="35" t="s">
        <v>2278</v>
      </c>
      <c r="AK416" s="40" t="s">
        <v>817</v>
      </c>
      <c r="AL416" s="32">
        <v>2019</v>
      </c>
      <c r="AM416" s="32" t="s">
        <v>818</v>
      </c>
      <c r="AN416" s="32" t="s">
        <v>819</v>
      </c>
      <c r="AO416" s="38" t="s">
        <v>820</v>
      </c>
      <c r="AP416" s="35" t="s">
        <v>396</v>
      </c>
    </row>
    <row r="417" spans="1:42" x14ac:dyDescent="0.2">
      <c r="A417" s="40">
        <v>47</v>
      </c>
      <c r="B417" s="40">
        <v>416</v>
      </c>
      <c r="C417" s="40" t="s">
        <v>357</v>
      </c>
      <c r="D417" s="38" t="s">
        <v>165</v>
      </c>
      <c r="E417" s="32" t="s">
        <v>2184</v>
      </c>
      <c r="F417" s="32" t="s">
        <v>145</v>
      </c>
      <c r="G417" s="38" t="s">
        <v>146</v>
      </c>
      <c r="H417" s="32" t="s">
        <v>151</v>
      </c>
      <c r="I417" s="32" t="s">
        <v>243</v>
      </c>
      <c r="J417" s="32" t="s">
        <v>368</v>
      </c>
      <c r="K417" s="32" t="s">
        <v>129</v>
      </c>
      <c r="L417" s="32" t="s">
        <v>30</v>
      </c>
      <c r="M417" s="32" t="s">
        <v>30</v>
      </c>
      <c r="N417" s="40">
        <v>2015</v>
      </c>
      <c r="O417" s="32">
        <f>VLOOKUP(Data!N427, CPI!$A$2:$B$112, 2, 0)</f>
        <v>172.2</v>
      </c>
      <c r="P417" s="32" t="s">
        <v>21</v>
      </c>
      <c r="Q417" s="32" t="s">
        <v>164</v>
      </c>
      <c r="R417" s="32" t="s">
        <v>2350</v>
      </c>
      <c r="S417" s="32">
        <v>12000000</v>
      </c>
      <c r="T417" s="32" t="s">
        <v>300</v>
      </c>
      <c r="U417" s="32">
        <f t="shared" si="23"/>
        <v>7.0588235294117645</v>
      </c>
      <c r="V417" s="32" t="s">
        <v>316</v>
      </c>
      <c r="X417" s="32">
        <f t="shared" si="22"/>
        <v>7.0588235294117645</v>
      </c>
      <c r="Y417" s="32">
        <f>(CPI!$B$112/O417)*X417</f>
        <v>12.489311334289814</v>
      </c>
      <c r="Z417" s="38" t="s">
        <v>262</v>
      </c>
      <c r="AA417" s="32" t="s">
        <v>1399</v>
      </c>
      <c r="AB417" s="32">
        <v>1700000</v>
      </c>
      <c r="AC417" s="32" t="s">
        <v>2351</v>
      </c>
      <c r="AH417" s="32" t="s">
        <v>411</v>
      </c>
      <c r="AJ417" s="35" t="s">
        <v>2278</v>
      </c>
      <c r="AK417" s="40" t="s">
        <v>817</v>
      </c>
      <c r="AL417" s="32">
        <v>2019</v>
      </c>
      <c r="AM417" s="32" t="s">
        <v>818</v>
      </c>
      <c r="AN417" s="32" t="s">
        <v>819</v>
      </c>
      <c r="AO417" s="38" t="s">
        <v>820</v>
      </c>
      <c r="AP417" s="35" t="s">
        <v>396</v>
      </c>
    </row>
    <row r="418" spans="1:42" x14ac:dyDescent="0.2">
      <c r="A418" s="40">
        <v>47</v>
      </c>
      <c r="B418" s="40">
        <v>417</v>
      </c>
      <c r="C418" s="40" t="s">
        <v>357</v>
      </c>
      <c r="D418" s="38" t="s">
        <v>165</v>
      </c>
      <c r="E418" s="32" t="s">
        <v>2183</v>
      </c>
      <c r="F418" s="32" t="s">
        <v>244</v>
      </c>
      <c r="G418" s="38" t="s">
        <v>162</v>
      </c>
      <c r="H418" s="32" t="s">
        <v>151</v>
      </c>
      <c r="I418" s="32" t="s">
        <v>243</v>
      </c>
      <c r="J418" s="32" t="s">
        <v>368</v>
      </c>
      <c r="K418" s="32" t="s">
        <v>129</v>
      </c>
      <c r="L418" s="32" t="s">
        <v>30</v>
      </c>
      <c r="M418" s="32" t="s">
        <v>30</v>
      </c>
      <c r="N418" s="40">
        <v>2015</v>
      </c>
      <c r="O418" s="32">
        <f>VLOOKUP(Data!N428, CPI!$A$2:$B$112, 2, 0)</f>
        <v>172.2</v>
      </c>
      <c r="P418" s="32" t="s">
        <v>21</v>
      </c>
      <c r="Q418" s="32" t="s">
        <v>164</v>
      </c>
      <c r="R418" s="32" t="s">
        <v>812</v>
      </c>
      <c r="S418" s="32">
        <v>3400000</v>
      </c>
      <c r="T418" s="32" t="s">
        <v>300</v>
      </c>
      <c r="U418" s="32">
        <f t="shared" si="23"/>
        <v>0.35789473684210527</v>
      </c>
      <c r="V418" s="32" t="s">
        <v>316</v>
      </c>
      <c r="X418" s="32">
        <f t="shared" si="22"/>
        <v>0.35789473684210527</v>
      </c>
      <c r="Y418" s="32">
        <f>(CPI!$B$112/O418)*X418</f>
        <v>0.63322999572100991</v>
      </c>
      <c r="Z418" s="38" t="s">
        <v>262</v>
      </c>
      <c r="AA418" s="32" t="s">
        <v>1399</v>
      </c>
      <c r="AB418" s="32">
        <v>9500000</v>
      </c>
      <c r="AC418" s="32" t="s">
        <v>2351</v>
      </c>
      <c r="AH418" s="32" t="s">
        <v>411</v>
      </c>
      <c r="AJ418" s="35" t="s">
        <v>2278</v>
      </c>
      <c r="AK418" s="40" t="s">
        <v>817</v>
      </c>
      <c r="AL418" s="32">
        <v>2019</v>
      </c>
      <c r="AM418" s="32" t="s">
        <v>818</v>
      </c>
      <c r="AN418" s="32" t="s">
        <v>819</v>
      </c>
      <c r="AO418" s="38" t="s">
        <v>820</v>
      </c>
      <c r="AP418" s="35" t="s">
        <v>396</v>
      </c>
    </row>
    <row r="419" spans="1:42" x14ac:dyDescent="0.2">
      <c r="A419" s="40">
        <v>47</v>
      </c>
      <c r="B419" s="40">
        <v>418</v>
      </c>
      <c r="C419" s="40" t="s">
        <v>357</v>
      </c>
      <c r="D419" s="38" t="s">
        <v>165</v>
      </c>
      <c r="E419" s="32" t="s">
        <v>2186</v>
      </c>
      <c r="F419" s="32" t="s">
        <v>108</v>
      </c>
      <c r="G419" s="38" t="s">
        <v>109</v>
      </c>
      <c r="H419" s="32" t="s">
        <v>151</v>
      </c>
      <c r="I419" s="32" t="s">
        <v>243</v>
      </c>
      <c r="J419" s="32" t="s">
        <v>368</v>
      </c>
      <c r="K419" s="32" t="s">
        <v>129</v>
      </c>
      <c r="L419" s="32" t="s">
        <v>30</v>
      </c>
      <c r="M419" s="32" t="s">
        <v>30</v>
      </c>
      <c r="N419" s="40">
        <v>2015</v>
      </c>
      <c r="O419" s="32">
        <f>VLOOKUP(Data!N429, CPI!$A$2:$B$112, 2, 0)</f>
        <v>172.2</v>
      </c>
      <c r="P419" s="32" t="s">
        <v>21</v>
      </c>
      <c r="Q419" s="32" t="s">
        <v>164</v>
      </c>
      <c r="R419" s="32" t="s">
        <v>813</v>
      </c>
      <c r="S419" s="32">
        <v>6200000</v>
      </c>
      <c r="T419" s="32" t="s">
        <v>300</v>
      </c>
      <c r="U419" s="32">
        <f t="shared" si="23"/>
        <v>0.65263157894736845</v>
      </c>
      <c r="V419" s="32" t="s">
        <v>316</v>
      </c>
      <c r="X419" s="32">
        <f t="shared" si="22"/>
        <v>0.65263157894736845</v>
      </c>
      <c r="Y419" s="32">
        <f>(CPI!$B$112/O419)*X419</f>
        <v>1.1547135216089004</v>
      </c>
      <c r="Z419" s="38" t="s">
        <v>262</v>
      </c>
      <c r="AA419" s="32" t="s">
        <v>1399</v>
      </c>
      <c r="AB419" s="32">
        <v>9500000</v>
      </c>
      <c r="AC419" s="32" t="s">
        <v>2351</v>
      </c>
      <c r="AH419" s="32" t="s">
        <v>411</v>
      </c>
      <c r="AJ419" s="35" t="s">
        <v>2278</v>
      </c>
      <c r="AK419" s="40" t="s">
        <v>817</v>
      </c>
      <c r="AL419" s="32">
        <v>2019</v>
      </c>
      <c r="AM419" s="32" t="s">
        <v>818</v>
      </c>
      <c r="AN419" s="32" t="s">
        <v>819</v>
      </c>
      <c r="AO419" s="38" t="s">
        <v>820</v>
      </c>
      <c r="AP419" s="35" t="s">
        <v>396</v>
      </c>
    </row>
    <row r="420" spans="1:42" x14ac:dyDescent="0.2">
      <c r="A420" s="40">
        <v>47</v>
      </c>
      <c r="B420" s="40">
        <v>419</v>
      </c>
      <c r="C420" s="40" t="s">
        <v>357</v>
      </c>
      <c r="D420" s="38" t="s">
        <v>165</v>
      </c>
      <c r="E420" s="32" t="s">
        <v>2186</v>
      </c>
      <c r="F420" s="32" t="s">
        <v>29</v>
      </c>
      <c r="G420" s="38" t="s">
        <v>29</v>
      </c>
      <c r="H420" s="32" t="s">
        <v>151</v>
      </c>
      <c r="I420" s="32" t="s">
        <v>243</v>
      </c>
      <c r="J420" s="32" t="s">
        <v>368</v>
      </c>
      <c r="K420" s="32" t="s">
        <v>129</v>
      </c>
      <c r="L420" s="32" t="s">
        <v>30</v>
      </c>
      <c r="M420" s="32" t="s">
        <v>30</v>
      </c>
      <c r="N420" s="40">
        <v>2015</v>
      </c>
      <c r="O420" s="32">
        <f>VLOOKUP(Data!N430, CPI!$A$2:$B$112, 2, 0)</f>
        <v>229.59399999999999</v>
      </c>
      <c r="P420" s="32" t="s">
        <v>21</v>
      </c>
      <c r="Q420" s="32" t="s">
        <v>250</v>
      </c>
      <c r="R420" s="32" t="s">
        <v>2349</v>
      </c>
      <c r="S420" s="32">
        <v>5900000</v>
      </c>
      <c r="T420" s="32" t="s">
        <v>300</v>
      </c>
      <c r="U420" s="32">
        <f t="shared" si="23"/>
        <v>0.62105263157894741</v>
      </c>
      <c r="V420" s="32" t="s">
        <v>316</v>
      </c>
      <c r="X420" s="32">
        <f t="shared" si="22"/>
        <v>0.62105263157894741</v>
      </c>
      <c r="Y420" s="32">
        <f>(CPI!$B$112/O420)*X420</f>
        <v>0.82415175208594782</v>
      </c>
      <c r="Z420" s="38" t="s">
        <v>262</v>
      </c>
      <c r="AA420" s="32" t="s">
        <v>1399</v>
      </c>
      <c r="AB420" s="32">
        <v>9500000</v>
      </c>
      <c r="AC420" s="32" t="s">
        <v>2351</v>
      </c>
      <c r="AH420" s="32" t="s">
        <v>411</v>
      </c>
      <c r="AJ420" s="35" t="s">
        <v>2278</v>
      </c>
      <c r="AK420" s="40" t="s">
        <v>817</v>
      </c>
      <c r="AL420" s="32">
        <v>2019</v>
      </c>
      <c r="AM420" s="32" t="s">
        <v>818</v>
      </c>
      <c r="AN420" s="32" t="s">
        <v>819</v>
      </c>
      <c r="AO420" s="38" t="s">
        <v>820</v>
      </c>
      <c r="AP420" s="35" t="s">
        <v>396</v>
      </c>
    </row>
    <row r="421" spans="1:42" x14ac:dyDescent="0.2">
      <c r="A421" s="40">
        <v>47</v>
      </c>
      <c r="B421" s="40">
        <v>420</v>
      </c>
      <c r="C421" s="40" t="s">
        <v>357</v>
      </c>
      <c r="D421" s="38" t="s">
        <v>165</v>
      </c>
      <c r="E421" s="32" t="s">
        <v>2186</v>
      </c>
      <c r="F421" s="32" t="s">
        <v>21</v>
      </c>
      <c r="G421" s="38" t="s">
        <v>163</v>
      </c>
      <c r="H421" s="32" t="s">
        <v>151</v>
      </c>
      <c r="I421" s="32" t="s">
        <v>243</v>
      </c>
      <c r="J421" s="32" t="s">
        <v>368</v>
      </c>
      <c r="K421" s="32" t="s">
        <v>129</v>
      </c>
      <c r="L421" s="32" t="s">
        <v>30</v>
      </c>
      <c r="M421" s="32" t="s">
        <v>30</v>
      </c>
      <c r="N421" s="40">
        <v>2015</v>
      </c>
      <c r="O421" s="32">
        <f>VLOOKUP(Data!N431, CPI!$A$2:$B$112, 2, 0)</f>
        <v>229.59399999999999</v>
      </c>
      <c r="P421" s="32" t="s">
        <v>238</v>
      </c>
      <c r="Q421" s="32" t="s">
        <v>239</v>
      </c>
      <c r="R421" s="32" t="s">
        <v>816</v>
      </c>
      <c r="S421" s="32">
        <v>3210000</v>
      </c>
      <c r="T421" s="32" t="s">
        <v>300</v>
      </c>
      <c r="U421" s="32">
        <f t="shared" si="23"/>
        <v>0.33789473684210525</v>
      </c>
      <c r="V421" s="32" t="s">
        <v>316</v>
      </c>
      <c r="X421" s="32">
        <f t="shared" si="22"/>
        <v>0.33789473684210525</v>
      </c>
      <c r="Y421" s="32">
        <f>(CPI!$B$112/O421)*X421</f>
        <v>0.44839442782981226</v>
      </c>
      <c r="Z421" s="38" t="s">
        <v>262</v>
      </c>
      <c r="AA421" s="32" t="s">
        <v>1452</v>
      </c>
      <c r="AB421" s="32">
        <v>9500000</v>
      </c>
      <c r="AC421" s="32" t="s">
        <v>2351</v>
      </c>
      <c r="AH421" s="32" t="s">
        <v>411</v>
      </c>
      <c r="AJ421" s="35" t="s">
        <v>2278</v>
      </c>
      <c r="AK421" s="40" t="s">
        <v>817</v>
      </c>
      <c r="AL421" s="32">
        <v>2019</v>
      </c>
      <c r="AM421" s="32" t="s">
        <v>818</v>
      </c>
      <c r="AN421" s="32" t="s">
        <v>819</v>
      </c>
      <c r="AO421" s="38" t="s">
        <v>820</v>
      </c>
      <c r="AP421" s="35" t="s">
        <v>396</v>
      </c>
    </row>
    <row r="422" spans="1:42" x14ac:dyDescent="0.2">
      <c r="A422" s="40">
        <v>47</v>
      </c>
      <c r="B422" s="40">
        <v>421</v>
      </c>
      <c r="C422" s="40" t="s">
        <v>357</v>
      </c>
      <c r="D422" s="38" t="s">
        <v>165</v>
      </c>
      <c r="E422" s="32" t="s">
        <v>2183</v>
      </c>
      <c r="F422" s="32" t="s">
        <v>237</v>
      </c>
      <c r="G422" s="38" t="s">
        <v>154</v>
      </c>
      <c r="H422" s="32" t="s">
        <v>151</v>
      </c>
      <c r="I422" s="32" t="s">
        <v>243</v>
      </c>
      <c r="J422" s="32" t="s">
        <v>368</v>
      </c>
      <c r="K422" s="32" t="s">
        <v>129</v>
      </c>
      <c r="L422" s="32" t="s">
        <v>30</v>
      </c>
      <c r="M422" s="32" t="s">
        <v>30</v>
      </c>
      <c r="N422" s="40">
        <v>2015</v>
      </c>
      <c r="O422" s="32">
        <f>VLOOKUP(Data!N432, CPI!$A$2:$B$112, 2, 0)</f>
        <v>229.59399999999999</v>
      </c>
      <c r="P422" s="32" t="s">
        <v>238</v>
      </c>
      <c r="Q422" s="32" t="s">
        <v>239</v>
      </c>
      <c r="R422" s="32" t="s">
        <v>814</v>
      </c>
      <c r="S422" s="32">
        <v>100000</v>
      </c>
      <c r="T422" s="32" t="s">
        <v>300</v>
      </c>
      <c r="U422" s="32">
        <f t="shared" si="23"/>
        <v>1.0526315789473684E-2</v>
      </c>
      <c r="V422" s="32" t="s">
        <v>316</v>
      </c>
      <c r="X422" s="32">
        <f t="shared" si="22"/>
        <v>1.0526315789473684E-2</v>
      </c>
      <c r="Y422" s="32">
        <f>(CPI!$B$112/O422)*X422</f>
        <v>1.3968673764168606E-2</v>
      </c>
      <c r="Z422" s="38" t="s">
        <v>262</v>
      </c>
      <c r="AA422" s="32" t="s">
        <v>1452</v>
      </c>
      <c r="AB422" s="32">
        <v>9500000</v>
      </c>
      <c r="AC422" s="32" t="s">
        <v>2351</v>
      </c>
      <c r="AH422" s="32" t="s">
        <v>411</v>
      </c>
      <c r="AJ422" s="35" t="s">
        <v>2278</v>
      </c>
      <c r="AK422" s="40" t="s">
        <v>817</v>
      </c>
      <c r="AL422" s="32">
        <v>2019</v>
      </c>
      <c r="AM422" s="32" t="s">
        <v>818</v>
      </c>
      <c r="AN422" s="32" t="s">
        <v>819</v>
      </c>
      <c r="AO422" s="38" t="s">
        <v>820</v>
      </c>
      <c r="AP422" s="35" t="s">
        <v>396</v>
      </c>
    </row>
    <row r="423" spans="1:42" x14ac:dyDescent="0.2">
      <c r="A423" s="40">
        <v>47</v>
      </c>
      <c r="B423" s="40">
        <v>422</v>
      </c>
      <c r="C423" s="40" t="s">
        <v>357</v>
      </c>
      <c r="D423" s="38" t="s">
        <v>165</v>
      </c>
      <c r="E423" s="32" t="s">
        <v>2183</v>
      </c>
      <c r="F423" s="32" t="s">
        <v>237</v>
      </c>
      <c r="G423" s="38" t="s">
        <v>154</v>
      </c>
      <c r="H423" s="32" t="s">
        <v>151</v>
      </c>
      <c r="I423" s="32" t="s">
        <v>243</v>
      </c>
      <c r="J423" s="32" t="s">
        <v>368</v>
      </c>
      <c r="K423" s="32" t="s">
        <v>129</v>
      </c>
      <c r="L423" s="32" t="s">
        <v>30</v>
      </c>
      <c r="M423" s="32" t="s">
        <v>30</v>
      </c>
      <c r="N423" s="40">
        <v>2015</v>
      </c>
      <c r="O423" s="32">
        <f>VLOOKUP(Data!N433, CPI!$A$2:$B$112, 2, 0)</f>
        <v>229.59399999999999</v>
      </c>
      <c r="P423" s="32" t="s">
        <v>238</v>
      </c>
      <c r="Q423" s="32" t="s">
        <v>239</v>
      </c>
      <c r="R423" s="32" t="s">
        <v>815</v>
      </c>
      <c r="S423" s="32">
        <v>80000</v>
      </c>
      <c r="T423" s="32" t="s">
        <v>300</v>
      </c>
      <c r="U423" s="32">
        <f t="shared" si="23"/>
        <v>8.4210526315789472E-3</v>
      </c>
      <c r="V423" s="32" t="s">
        <v>316</v>
      </c>
      <c r="X423" s="32">
        <f t="shared" si="22"/>
        <v>8.4210526315789472E-3</v>
      </c>
      <c r="Y423" s="32">
        <f>(CPI!$B$112/O423)*X423</f>
        <v>1.1174939011334884E-2</v>
      </c>
      <c r="Z423" s="38" t="s">
        <v>262</v>
      </c>
      <c r="AA423" s="32" t="s">
        <v>1452</v>
      </c>
      <c r="AB423" s="32">
        <v>9500000</v>
      </c>
      <c r="AC423" s="32" t="s">
        <v>2351</v>
      </c>
      <c r="AH423" s="32" t="s">
        <v>411</v>
      </c>
      <c r="AJ423" s="35" t="s">
        <v>2278</v>
      </c>
      <c r="AK423" s="40" t="s">
        <v>817</v>
      </c>
      <c r="AL423" s="32">
        <v>2019</v>
      </c>
      <c r="AM423" s="32" t="s">
        <v>818</v>
      </c>
      <c r="AN423" s="32" t="s">
        <v>819</v>
      </c>
      <c r="AO423" s="38" t="s">
        <v>820</v>
      </c>
      <c r="AP423" s="35" t="s">
        <v>396</v>
      </c>
    </row>
    <row r="424" spans="1:42" x14ac:dyDescent="0.2">
      <c r="A424" s="40">
        <v>47</v>
      </c>
      <c r="B424" s="40">
        <v>423</v>
      </c>
      <c r="C424" s="40" t="s">
        <v>357</v>
      </c>
      <c r="D424" s="38" t="s">
        <v>165</v>
      </c>
      <c r="E424" s="32" t="s">
        <v>2183</v>
      </c>
      <c r="F424" s="32" t="s">
        <v>237</v>
      </c>
      <c r="G424" s="38" t="s">
        <v>1923</v>
      </c>
      <c r="H424" s="32" t="s">
        <v>151</v>
      </c>
      <c r="I424" s="32" t="s">
        <v>243</v>
      </c>
      <c r="J424" s="32" t="s">
        <v>2353</v>
      </c>
      <c r="K424" s="32" t="s">
        <v>129</v>
      </c>
      <c r="L424" s="32" t="s">
        <v>30</v>
      </c>
      <c r="M424" s="32" t="s">
        <v>30</v>
      </c>
      <c r="N424" s="40">
        <v>2015</v>
      </c>
      <c r="O424" s="32">
        <f>VLOOKUP(Data!N434, CPI!$A$2:$B$112, 2, 0)</f>
        <v>229.59399999999999</v>
      </c>
      <c r="P424" s="32" t="s">
        <v>238</v>
      </c>
      <c r="Q424" s="32" t="s">
        <v>239</v>
      </c>
      <c r="R424" s="32" t="s">
        <v>2352</v>
      </c>
      <c r="S424" s="32">
        <v>1943</v>
      </c>
      <c r="T424" s="32" t="s">
        <v>316</v>
      </c>
      <c r="U424" s="32">
        <v>1943</v>
      </c>
      <c r="V424" s="32" t="s">
        <v>316</v>
      </c>
      <c r="X424" s="32">
        <f t="shared" si="22"/>
        <v>1943</v>
      </c>
      <c r="Y424" s="32">
        <f>(CPI!$B$112/O424)*X424</f>
        <v>2578.4076467590621</v>
      </c>
      <c r="Z424" s="38" t="s">
        <v>262</v>
      </c>
      <c r="AA424" s="32" t="s">
        <v>2354</v>
      </c>
      <c r="AB424" s="32">
        <v>15136</v>
      </c>
      <c r="AC424" s="32" t="s">
        <v>2354</v>
      </c>
      <c r="AH424" s="32" t="s">
        <v>411</v>
      </c>
      <c r="AK424" s="40" t="s">
        <v>817</v>
      </c>
      <c r="AL424" s="32">
        <v>2019</v>
      </c>
      <c r="AM424" s="32" t="s">
        <v>818</v>
      </c>
      <c r="AN424" s="32" t="s">
        <v>819</v>
      </c>
      <c r="AO424" s="38" t="s">
        <v>820</v>
      </c>
      <c r="AP424" s="35" t="s">
        <v>396</v>
      </c>
    </row>
    <row r="425" spans="1:42" x14ac:dyDescent="0.2">
      <c r="A425" s="40">
        <v>48</v>
      </c>
      <c r="B425" s="40">
        <v>424</v>
      </c>
      <c r="C425" s="40" t="s">
        <v>241</v>
      </c>
      <c r="D425" s="38" t="s">
        <v>240</v>
      </c>
      <c r="E425" s="32" t="s">
        <v>2186</v>
      </c>
      <c r="F425" s="32" t="s">
        <v>21</v>
      </c>
      <c r="G425" s="38" t="s">
        <v>163</v>
      </c>
      <c r="H425" s="32" t="s">
        <v>151</v>
      </c>
      <c r="I425" s="32" t="s">
        <v>243</v>
      </c>
      <c r="J425" s="32" t="s">
        <v>821</v>
      </c>
      <c r="K425" s="32" t="s">
        <v>129</v>
      </c>
      <c r="L425" s="32" t="s">
        <v>30</v>
      </c>
      <c r="M425" s="32" t="s">
        <v>30</v>
      </c>
      <c r="N425" s="40">
        <v>2005</v>
      </c>
      <c r="O425" s="32">
        <f>VLOOKUP(Data!N435, CPI!$A$2:$B$112, 2, 0)</f>
        <v>229.59399999999999</v>
      </c>
      <c r="P425" s="32" t="s">
        <v>177</v>
      </c>
      <c r="Q425" s="32" t="s">
        <v>239</v>
      </c>
      <c r="R425" s="32" t="s">
        <v>822</v>
      </c>
      <c r="S425" s="32">
        <v>2500</v>
      </c>
      <c r="T425" s="32" t="s">
        <v>603</v>
      </c>
      <c r="U425" s="32">
        <v>2500</v>
      </c>
      <c r="V425" s="32" t="s">
        <v>316</v>
      </c>
      <c r="X425" s="32">
        <f t="shared" si="22"/>
        <v>2500</v>
      </c>
      <c r="Y425" s="32">
        <f>(CPI!$B$112/O425)*X425</f>
        <v>3317.5600189900438</v>
      </c>
      <c r="Z425" s="38" t="s">
        <v>262</v>
      </c>
      <c r="AA425" s="35" t="s">
        <v>2355</v>
      </c>
      <c r="AB425" s="32" t="s">
        <v>30</v>
      </c>
      <c r="AH425" s="32" t="s">
        <v>411</v>
      </c>
      <c r="AK425" s="40" t="s">
        <v>823</v>
      </c>
      <c r="AL425" s="32">
        <v>2018</v>
      </c>
      <c r="AM425" s="32" t="s">
        <v>824</v>
      </c>
      <c r="AN425" s="32" t="s">
        <v>825</v>
      </c>
      <c r="AO425" s="38" t="s">
        <v>826</v>
      </c>
      <c r="AP425" s="35" t="s">
        <v>396</v>
      </c>
    </row>
    <row r="426" spans="1:42" x14ac:dyDescent="0.2">
      <c r="A426" s="40">
        <v>49</v>
      </c>
      <c r="B426" s="40">
        <v>425</v>
      </c>
      <c r="C426" s="40" t="s">
        <v>39</v>
      </c>
      <c r="D426" s="38" t="s">
        <v>181</v>
      </c>
      <c r="E426" s="32" t="s">
        <v>2186</v>
      </c>
      <c r="F426" s="32" t="s">
        <v>21</v>
      </c>
      <c r="G426" s="38" t="s">
        <v>163</v>
      </c>
      <c r="H426" s="32" t="s">
        <v>151</v>
      </c>
      <c r="I426" s="32" t="s">
        <v>243</v>
      </c>
      <c r="J426" s="32" t="s">
        <v>827</v>
      </c>
      <c r="K426" s="32" t="s">
        <v>129</v>
      </c>
      <c r="L426" s="32" t="s">
        <v>30</v>
      </c>
      <c r="M426" s="32" t="s">
        <v>30</v>
      </c>
      <c r="N426" s="40">
        <v>2000</v>
      </c>
      <c r="O426" s="32">
        <f>VLOOKUP(Data!N436, CPI!$A$2:$B$112, 2, 0)</f>
        <v>229.59399999999999</v>
      </c>
      <c r="P426" s="32" t="s">
        <v>238</v>
      </c>
      <c r="Q426" s="32" t="s">
        <v>239</v>
      </c>
      <c r="R426" s="32" t="s">
        <v>2357</v>
      </c>
      <c r="S426" s="32">
        <v>2461</v>
      </c>
      <c r="T426" s="32" t="s">
        <v>2356</v>
      </c>
      <c r="U426" s="32">
        <f>S426*(1/AB426)</f>
        <v>41016.666666666672</v>
      </c>
      <c r="V426" s="32" t="s">
        <v>316</v>
      </c>
      <c r="X426" s="32">
        <f t="shared" si="22"/>
        <v>41016.666666666672</v>
      </c>
      <c r="Y426" s="32">
        <f>(CPI!$B$112/O426)*X426</f>
        <v>54430.101378229992</v>
      </c>
      <c r="Z426" s="38" t="s">
        <v>262</v>
      </c>
      <c r="AA426" s="35" t="s">
        <v>1446</v>
      </c>
      <c r="AB426" s="32">
        <v>0.06</v>
      </c>
      <c r="AC426" s="32" t="s">
        <v>1446</v>
      </c>
      <c r="AH426" s="32" t="s">
        <v>411</v>
      </c>
      <c r="AI426" s="32" t="s">
        <v>2358</v>
      </c>
      <c r="AJ426" s="35" t="s">
        <v>2367</v>
      </c>
      <c r="AK426" s="40" t="s">
        <v>831</v>
      </c>
      <c r="AL426" s="32">
        <v>2007</v>
      </c>
      <c r="AM426" s="32" t="s">
        <v>832</v>
      </c>
      <c r="AN426" s="32" t="s">
        <v>833</v>
      </c>
      <c r="AO426" s="38" t="s">
        <v>834</v>
      </c>
      <c r="AP426" s="35" t="s">
        <v>396</v>
      </c>
    </row>
    <row r="427" spans="1:42" x14ac:dyDescent="0.2">
      <c r="A427" s="40">
        <v>49</v>
      </c>
      <c r="B427" s="40">
        <v>426</v>
      </c>
      <c r="C427" s="40" t="s">
        <v>39</v>
      </c>
      <c r="D427" s="38" t="s">
        <v>181</v>
      </c>
      <c r="E427" s="32" t="s">
        <v>2186</v>
      </c>
      <c r="F427" s="32" t="s">
        <v>21</v>
      </c>
      <c r="G427" s="38" t="s">
        <v>163</v>
      </c>
      <c r="H427" s="32" t="s">
        <v>151</v>
      </c>
      <c r="I427" s="32" t="s">
        <v>243</v>
      </c>
      <c r="J427" s="32" t="s">
        <v>827</v>
      </c>
      <c r="K427" s="32" t="s">
        <v>129</v>
      </c>
      <c r="L427" s="32" t="s">
        <v>30</v>
      </c>
      <c r="M427" s="32" t="s">
        <v>30</v>
      </c>
      <c r="N427" s="40">
        <v>2000</v>
      </c>
      <c r="O427" s="32">
        <f>VLOOKUP(Data!N437, CPI!$A$2:$B$112, 2, 0)</f>
        <v>229.59399999999999</v>
      </c>
      <c r="P427" s="32" t="s">
        <v>238</v>
      </c>
      <c r="Q427" s="32" t="s">
        <v>239</v>
      </c>
      <c r="R427" s="32" t="s">
        <v>828</v>
      </c>
      <c r="S427" s="32">
        <v>308</v>
      </c>
      <c r="T427" s="32" t="s">
        <v>2356</v>
      </c>
      <c r="U427" s="32">
        <f>S427*(1/AB427)</f>
        <v>5133.3333333333339</v>
      </c>
      <c r="V427" s="32" t="s">
        <v>316</v>
      </c>
      <c r="X427" s="32">
        <f t="shared" si="22"/>
        <v>5133.3333333333339</v>
      </c>
      <c r="Y427" s="32">
        <f>(CPI!$B$112/O427)*X427</f>
        <v>6812.0565723262243</v>
      </c>
      <c r="Z427" s="38" t="s">
        <v>262</v>
      </c>
      <c r="AA427" s="35" t="s">
        <v>1446</v>
      </c>
      <c r="AB427" s="32">
        <v>0.06</v>
      </c>
      <c r="AC427" s="32" t="s">
        <v>1446</v>
      </c>
      <c r="AH427" s="32" t="s">
        <v>411</v>
      </c>
      <c r="AI427" s="32" t="s">
        <v>2358</v>
      </c>
      <c r="AJ427" s="35" t="s">
        <v>2367</v>
      </c>
      <c r="AK427" s="40" t="s">
        <v>831</v>
      </c>
      <c r="AL427" s="32">
        <v>2007</v>
      </c>
      <c r="AM427" s="32" t="s">
        <v>832</v>
      </c>
      <c r="AN427" s="32" t="s">
        <v>833</v>
      </c>
      <c r="AO427" s="38" t="s">
        <v>834</v>
      </c>
      <c r="AP427" s="35" t="s">
        <v>396</v>
      </c>
    </row>
    <row r="428" spans="1:42" x14ac:dyDescent="0.2">
      <c r="A428" s="40">
        <v>49</v>
      </c>
      <c r="B428" s="40">
        <v>427</v>
      </c>
      <c r="C428" s="40" t="s">
        <v>39</v>
      </c>
      <c r="D428" s="38" t="s">
        <v>181</v>
      </c>
      <c r="E428" s="32" t="s">
        <v>2186</v>
      </c>
      <c r="F428" s="32" t="s">
        <v>21</v>
      </c>
      <c r="G428" s="38" t="s">
        <v>163</v>
      </c>
      <c r="H428" s="32" t="s">
        <v>151</v>
      </c>
      <c r="I428" s="32" t="s">
        <v>243</v>
      </c>
      <c r="J428" s="32" t="s">
        <v>827</v>
      </c>
      <c r="K428" s="32" t="s">
        <v>129</v>
      </c>
      <c r="L428" s="32" t="s">
        <v>30</v>
      </c>
      <c r="M428" s="32" t="s">
        <v>30</v>
      </c>
      <c r="N428" s="40">
        <v>2000</v>
      </c>
      <c r="O428" s="32">
        <f>VLOOKUP(Data!N438, CPI!$A$2:$B$112, 2, 0)</f>
        <v>229.59399999999999</v>
      </c>
      <c r="P428" s="32" t="s">
        <v>238</v>
      </c>
      <c r="Q428" s="32" t="s">
        <v>239</v>
      </c>
      <c r="R428" s="32" t="s">
        <v>829</v>
      </c>
      <c r="S428" s="32">
        <v>173</v>
      </c>
      <c r="T428" s="32" t="s">
        <v>2356</v>
      </c>
      <c r="U428" s="32">
        <f>S428*(1/AB428)</f>
        <v>2883.3333333333335</v>
      </c>
      <c r="V428" s="32" t="s">
        <v>316</v>
      </c>
      <c r="X428" s="32">
        <f t="shared" si="22"/>
        <v>2883.3333333333335</v>
      </c>
      <c r="Y428" s="32">
        <f>(CPI!$B$112/O428)*X428</f>
        <v>3826.252555235184</v>
      </c>
      <c r="Z428" s="38" t="s">
        <v>262</v>
      </c>
      <c r="AA428" s="35" t="s">
        <v>1446</v>
      </c>
      <c r="AB428" s="32">
        <v>0.06</v>
      </c>
      <c r="AC428" s="32" t="s">
        <v>1446</v>
      </c>
      <c r="AH428" s="32" t="s">
        <v>411</v>
      </c>
      <c r="AI428" s="32" t="s">
        <v>2358</v>
      </c>
      <c r="AJ428" s="35" t="s">
        <v>2367</v>
      </c>
      <c r="AK428" s="40" t="s">
        <v>831</v>
      </c>
      <c r="AL428" s="32">
        <v>2007</v>
      </c>
      <c r="AM428" s="32" t="s">
        <v>832</v>
      </c>
      <c r="AN428" s="32" t="s">
        <v>833</v>
      </c>
      <c r="AO428" s="38" t="s">
        <v>834</v>
      </c>
      <c r="AP428" s="35" t="s">
        <v>396</v>
      </c>
    </row>
    <row r="429" spans="1:42" x14ac:dyDescent="0.2">
      <c r="A429" s="40">
        <v>49</v>
      </c>
      <c r="B429" s="40">
        <v>428</v>
      </c>
      <c r="C429" s="40" t="s">
        <v>39</v>
      </c>
      <c r="D429" s="38" t="s">
        <v>181</v>
      </c>
      <c r="E429" s="32" t="s">
        <v>2186</v>
      </c>
      <c r="F429" s="32" t="s">
        <v>21</v>
      </c>
      <c r="G429" s="38" t="s">
        <v>163</v>
      </c>
      <c r="H429" s="32" t="s">
        <v>151</v>
      </c>
      <c r="I429" s="32" t="s">
        <v>243</v>
      </c>
      <c r="J429" s="32" t="s">
        <v>827</v>
      </c>
      <c r="K429" s="32" t="s">
        <v>129</v>
      </c>
      <c r="L429" s="32" t="s">
        <v>30</v>
      </c>
      <c r="M429" s="32" t="s">
        <v>30</v>
      </c>
      <c r="N429" s="40">
        <v>2000</v>
      </c>
      <c r="O429" s="32">
        <f>VLOOKUP(Data!N439, CPI!$A$2:$B$112, 2, 0)</f>
        <v>229.59399999999999</v>
      </c>
      <c r="P429" s="32" t="s">
        <v>238</v>
      </c>
      <c r="Q429" s="32" t="s">
        <v>239</v>
      </c>
      <c r="R429" s="32" t="s">
        <v>830</v>
      </c>
      <c r="S429" s="32">
        <v>2973</v>
      </c>
      <c r="T429" s="32" t="s">
        <v>2356</v>
      </c>
      <c r="U429" s="32">
        <f>S429*(1/AB429)</f>
        <v>49550</v>
      </c>
      <c r="V429" s="32" t="s">
        <v>316</v>
      </c>
      <c r="X429" s="32">
        <f t="shared" si="22"/>
        <v>49550</v>
      </c>
      <c r="Y429" s="32">
        <f>(CPI!$B$112/O429)*X429</f>
        <v>65754.039576382667</v>
      </c>
      <c r="Z429" s="38" t="s">
        <v>262</v>
      </c>
      <c r="AA429" s="35" t="s">
        <v>1447</v>
      </c>
      <c r="AB429" s="32">
        <v>0.06</v>
      </c>
      <c r="AC429" s="32" t="s">
        <v>1446</v>
      </c>
      <c r="AH429" s="32" t="s">
        <v>411</v>
      </c>
      <c r="AI429" s="32" t="s">
        <v>2358</v>
      </c>
      <c r="AJ429" s="35" t="s">
        <v>2367</v>
      </c>
      <c r="AK429" s="40" t="s">
        <v>831</v>
      </c>
      <c r="AL429" s="32">
        <v>2007</v>
      </c>
      <c r="AM429" s="32" t="s">
        <v>832</v>
      </c>
      <c r="AN429" s="32" t="s">
        <v>833</v>
      </c>
      <c r="AO429" s="38" t="s">
        <v>834</v>
      </c>
      <c r="AP429" s="35" t="s">
        <v>396</v>
      </c>
    </row>
    <row r="430" spans="1:42" x14ac:dyDescent="0.2">
      <c r="A430" s="40">
        <v>50</v>
      </c>
      <c r="B430" s="40">
        <v>429</v>
      </c>
      <c r="C430" s="40" t="s">
        <v>114</v>
      </c>
      <c r="D430" s="38" t="s">
        <v>218</v>
      </c>
      <c r="E430" s="32" t="s">
        <v>2186</v>
      </c>
      <c r="F430" s="32" t="s">
        <v>29</v>
      </c>
      <c r="G430" s="38" t="s">
        <v>29</v>
      </c>
      <c r="H430" s="32" t="s">
        <v>115</v>
      </c>
      <c r="I430" s="32" t="s">
        <v>243</v>
      </c>
      <c r="J430" s="32" t="s">
        <v>835</v>
      </c>
      <c r="K430" s="32" t="s">
        <v>129</v>
      </c>
      <c r="L430" s="32" t="s">
        <v>30</v>
      </c>
      <c r="M430" s="32" t="s">
        <v>30</v>
      </c>
      <c r="N430" s="40">
        <v>2012</v>
      </c>
      <c r="O430" s="32">
        <f>VLOOKUP(Data!N43, CPI!$A$2:$B$112, 2, 0)</f>
        <v>201.6</v>
      </c>
      <c r="P430" s="32" t="s">
        <v>16</v>
      </c>
      <c r="Q430" s="32" t="s">
        <v>4</v>
      </c>
      <c r="R430" s="32" t="s">
        <v>2359</v>
      </c>
      <c r="S430" s="32">
        <v>11926</v>
      </c>
      <c r="T430" s="32" t="s">
        <v>2211</v>
      </c>
      <c r="U430" s="32">
        <v>11926</v>
      </c>
      <c r="V430" s="32" t="s">
        <v>2211</v>
      </c>
      <c r="W430" s="32">
        <f>VLOOKUP(N430, 'Exchange rate-Kenya'!$A$3:$B$65, 2, 0)</f>
        <v>84.529601757352907</v>
      </c>
      <c r="X430" s="32">
        <f>U430/W430</f>
        <v>141.08666966436527</v>
      </c>
      <c r="Y430" s="32">
        <f>(CPI!$B$112/O430)*X430</f>
        <v>213.22335308364291</v>
      </c>
      <c r="Z430" s="38" t="s">
        <v>262</v>
      </c>
      <c r="AA430" s="35" t="s">
        <v>1412</v>
      </c>
      <c r="AB430" s="32">
        <v>36.6</v>
      </c>
      <c r="AC430" s="32" t="s">
        <v>2291</v>
      </c>
      <c r="AG430">
        <v>14725.166666666701</v>
      </c>
      <c r="AH430" s="32" t="s">
        <v>411</v>
      </c>
      <c r="AK430" s="40" t="s">
        <v>840</v>
      </c>
      <c r="AL430" s="32">
        <v>2014</v>
      </c>
      <c r="AM430" s="32" t="s">
        <v>841</v>
      </c>
      <c r="AN430" s="32" t="s">
        <v>842</v>
      </c>
      <c r="AO430" s="38" t="s">
        <v>843</v>
      </c>
      <c r="AP430" s="35" t="s">
        <v>396</v>
      </c>
    </row>
    <row r="431" spans="1:42" x14ac:dyDescent="0.2">
      <c r="A431" s="40">
        <v>50</v>
      </c>
      <c r="B431" s="40">
        <v>430</v>
      </c>
      <c r="C431" s="40" t="s">
        <v>114</v>
      </c>
      <c r="D431" s="38" t="s">
        <v>218</v>
      </c>
      <c r="E431" s="32" t="s">
        <v>2186</v>
      </c>
      <c r="F431" s="32" t="s">
        <v>29</v>
      </c>
      <c r="G431" s="38" t="s">
        <v>29</v>
      </c>
      <c r="H431" s="32" t="s">
        <v>115</v>
      </c>
      <c r="I431" s="32" t="s">
        <v>243</v>
      </c>
      <c r="J431" s="32" t="s">
        <v>835</v>
      </c>
      <c r="K431" s="32" t="s">
        <v>129</v>
      </c>
      <c r="L431" s="32" t="s">
        <v>30</v>
      </c>
      <c r="M431" s="32" t="s">
        <v>30</v>
      </c>
      <c r="N431" s="40">
        <v>2012</v>
      </c>
      <c r="O431" s="32">
        <f>VLOOKUP(Data!N44, CPI!$A$2:$B$112, 2, 0)</f>
        <v>201.6</v>
      </c>
      <c r="P431" s="32" t="s">
        <v>16</v>
      </c>
      <c r="Q431" s="32" t="s">
        <v>4</v>
      </c>
      <c r="R431" s="32" t="s">
        <v>2359</v>
      </c>
      <c r="S431" s="32">
        <v>640</v>
      </c>
      <c r="T431" s="32" t="s">
        <v>2211</v>
      </c>
      <c r="U431" s="32">
        <v>640</v>
      </c>
      <c r="V431" s="32" t="s">
        <v>2211</v>
      </c>
      <c r="W431" s="32">
        <f>VLOOKUP(N431, 'Exchange rate-Kenya'!$A$3:$B$65, 2, 0)</f>
        <v>84.529601757352907</v>
      </c>
      <c r="X431" s="32">
        <f>U431/W431</f>
        <v>7.5713121402979855</v>
      </c>
      <c r="Y431" s="32">
        <f>(CPI!$B$112/O431)*X431</f>
        <v>11.442474088003644</v>
      </c>
      <c r="Z431" s="38" t="s">
        <v>262</v>
      </c>
      <c r="AA431" s="35" t="s">
        <v>1412</v>
      </c>
      <c r="AB431" s="32">
        <v>36.6</v>
      </c>
      <c r="AC431" s="32" t="s">
        <v>2291</v>
      </c>
      <c r="AG431">
        <v>15279.5</v>
      </c>
      <c r="AH431" s="32" t="s">
        <v>411</v>
      </c>
      <c r="AK431" s="40" t="s">
        <v>840</v>
      </c>
      <c r="AL431" s="32">
        <v>2014</v>
      </c>
      <c r="AM431" s="32" t="s">
        <v>841</v>
      </c>
      <c r="AN431" s="32" t="s">
        <v>842</v>
      </c>
      <c r="AO431" s="38" t="s">
        <v>843</v>
      </c>
      <c r="AP431" s="35" t="s">
        <v>396</v>
      </c>
    </row>
    <row r="432" spans="1:42" x14ac:dyDescent="0.2">
      <c r="A432" s="40">
        <v>50</v>
      </c>
      <c r="B432" s="40">
        <v>431</v>
      </c>
      <c r="C432" s="40" t="s">
        <v>114</v>
      </c>
      <c r="D432" s="38" t="s">
        <v>218</v>
      </c>
      <c r="E432" s="32" t="s">
        <v>2186</v>
      </c>
      <c r="F432" s="32" t="s">
        <v>29</v>
      </c>
      <c r="G432" s="38" t="s">
        <v>29</v>
      </c>
      <c r="H432" s="32" t="s">
        <v>115</v>
      </c>
      <c r="I432" s="32" t="s">
        <v>243</v>
      </c>
      <c r="J432" s="32" t="s">
        <v>835</v>
      </c>
      <c r="K432" s="32" t="s">
        <v>129</v>
      </c>
      <c r="L432" s="32" t="s">
        <v>30</v>
      </c>
      <c r="M432" s="32" t="s">
        <v>30</v>
      </c>
      <c r="N432" s="40">
        <v>2012</v>
      </c>
      <c r="O432" s="32">
        <f>VLOOKUP(Data!N440, CPI!$A$2:$B$112, 2, 0)</f>
        <v>229.59399999999999</v>
      </c>
      <c r="P432" s="32" t="s">
        <v>16</v>
      </c>
      <c r="Q432" s="32" t="s">
        <v>4</v>
      </c>
      <c r="R432" s="32" t="s">
        <v>2360</v>
      </c>
      <c r="S432" s="32">
        <v>2.89</v>
      </c>
      <c r="T432" s="32" t="s">
        <v>316</v>
      </c>
      <c r="U432" s="32">
        <v>2.89</v>
      </c>
      <c r="V432" s="32" t="s">
        <v>316</v>
      </c>
      <c r="X432" s="32">
        <f t="shared" ref="X432:X437" si="24">U432</f>
        <v>2.89</v>
      </c>
      <c r="Y432" s="32">
        <f>(CPI!$B$112/O432)*X432</f>
        <v>3.835099381952491</v>
      </c>
      <c r="Z432" s="38" t="s">
        <v>262</v>
      </c>
      <c r="AA432" s="35" t="s">
        <v>1412</v>
      </c>
      <c r="AB432" s="32">
        <v>36.6</v>
      </c>
      <c r="AC432" s="32" t="s">
        <v>2291</v>
      </c>
      <c r="AH432" s="32" t="s">
        <v>411</v>
      </c>
      <c r="AK432" s="40" t="s">
        <v>840</v>
      </c>
      <c r="AL432" s="32">
        <v>2014</v>
      </c>
      <c r="AM432" s="32" t="s">
        <v>841</v>
      </c>
      <c r="AN432" s="32" t="s">
        <v>842</v>
      </c>
      <c r="AO432" s="38" t="s">
        <v>843</v>
      </c>
      <c r="AP432" s="35" t="s">
        <v>396</v>
      </c>
    </row>
    <row r="433" spans="1:42" x14ac:dyDescent="0.2">
      <c r="A433" s="40">
        <v>50</v>
      </c>
      <c r="B433" s="40">
        <v>432</v>
      </c>
      <c r="C433" s="40" t="s">
        <v>114</v>
      </c>
      <c r="D433" s="38" t="s">
        <v>218</v>
      </c>
      <c r="E433" s="32" t="s">
        <v>2186</v>
      </c>
      <c r="F433" s="32" t="s">
        <v>29</v>
      </c>
      <c r="G433" s="38" t="s">
        <v>29</v>
      </c>
      <c r="H433" s="32" t="s">
        <v>115</v>
      </c>
      <c r="I433" s="32" t="s">
        <v>243</v>
      </c>
      <c r="J433" s="32" t="s">
        <v>835</v>
      </c>
      <c r="K433" s="32" t="s">
        <v>129</v>
      </c>
      <c r="L433" s="32" t="s">
        <v>30</v>
      </c>
      <c r="M433" s="32" t="s">
        <v>30</v>
      </c>
      <c r="N433" s="40">
        <v>2012</v>
      </c>
      <c r="O433" s="32">
        <f>VLOOKUP(Data!N441, CPI!$A$2:$B$112, 2, 0)</f>
        <v>232.95699999999999</v>
      </c>
      <c r="P433" s="32" t="s">
        <v>16</v>
      </c>
      <c r="Q433" s="32" t="s">
        <v>4</v>
      </c>
      <c r="R433" s="32" t="s">
        <v>2361</v>
      </c>
      <c r="S433" s="32">
        <v>188.56</v>
      </c>
      <c r="T433" s="32" t="s">
        <v>316</v>
      </c>
      <c r="U433" s="32">
        <v>188.56</v>
      </c>
      <c r="V433" s="32" t="s">
        <v>316</v>
      </c>
      <c r="X433" s="32">
        <f t="shared" si="24"/>
        <v>188.56</v>
      </c>
      <c r="Y433" s="32">
        <f>(CPI!$B$112/O433)*X433</f>
        <v>246.6113831307924</v>
      </c>
      <c r="Z433" s="38" t="s">
        <v>262</v>
      </c>
      <c r="AA433" s="35" t="s">
        <v>1412</v>
      </c>
      <c r="AB433" s="32">
        <v>36.6</v>
      </c>
      <c r="AC433" s="32" t="s">
        <v>2291</v>
      </c>
      <c r="AH433" s="32" t="s">
        <v>411</v>
      </c>
      <c r="AK433" s="40" t="s">
        <v>840</v>
      </c>
      <c r="AL433" s="32">
        <v>2014</v>
      </c>
      <c r="AM433" s="32" t="s">
        <v>841</v>
      </c>
      <c r="AN433" s="32" t="s">
        <v>842</v>
      </c>
      <c r="AO433" s="38" t="s">
        <v>843</v>
      </c>
      <c r="AP433" s="35" t="s">
        <v>396</v>
      </c>
    </row>
    <row r="434" spans="1:42" x14ac:dyDescent="0.2">
      <c r="A434" s="40">
        <v>50</v>
      </c>
      <c r="B434" s="40">
        <v>433</v>
      </c>
      <c r="C434" s="40" t="s">
        <v>114</v>
      </c>
      <c r="D434" s="38" t="s">
        <v>218</v>
      </c>
      <c r="E434" s="32" t="s">
        <v>2186</v>
      </c>
      <c r="F434" s="32" t="s">
        <v>29</v>
      </c>
      <c r="G434" s="38" t="s">
        <v>29</v>
      </c>
      <c r="H434" s="32" t="s">
        <v>115</v>
      </c>
      <c r="I434" s="32" t="s">
        <v>243</v>
      </c>
      <c r="J434" s="32" t="s">
        <v>835</v>
      </c>
      <c r="K434" s="32" t="s">
        <v>129</v>
      </c>
      <c r="L434" s="32" t="s">
        <v>30</v>
      </c>
      <c r="M434" s="32" t="s">
        <v>30</v>
      </c>
      <c r="N434" s="40">
        <v>2012</v>
      </c>
      <c r="O434" s="32">
        <f>VLOOKUP(Data!N442, CPI!$A$2:$B$112, 2, 0)</f>
        <v>236.73599999999999</v>
      </c>
      <c r="P434" s="32" t="s">
        <v>16</v>
      </c>
      <c r="Q434" s="32" t="s">
        <v>4</v>
      </c>
      <c r="R434" s="32" t="s">
        <v>2362</v>
      </c>
      <c r="S434" s="32">
        <v>3.16</v>
      </c>
      <c r="T434" s="32" t="s">
        <v>316</v>
      </c>
      <c r="U434" s="32">
        <v>3.16</v>
      </c>
      <c r="V434" s="32" t="s">
        <v>316</v>
      </c>
      <c r="X434" s="32">
        <f t="shared" si="24"/>
        <v>3.16</v>
      </c>
      <c r="Y434" s="32">
        <f>(CPI!$B$112/O434)*X434</f>
        <v>4.066886869762099</v>
      </c>
      <c r="Z434" s="38" t="s">
        <v>262</v>
      </c>
      <c r="AA434" s="35" t="s">
        <v>1412</v>
      </c>
      <c r="AB434" s="32">
        <v>36.6</v>
      </c>
      <c r="AC434" s="32" t="s">
        <v>2291</v>
      </c>
      <c r="AH434" s="32" t="s">
        <v>411</v>
      </c>
      <c r="AK434" s="40" t="s">
        <v>840</v>
      </c>
      <c r="AL434" s="32">
        <v>2014</v>
      </c>
      <c r="AM434" s="32" t="s">
        <v>841</v>
      </c>
      <c r="AN434" s="32" t="s">
        <v>842</v>
      </c>
      <c r="AO434" s="38" t="s">
        <v>843</v>
      </c>
      <c r="AP434" s="35" t="s">
        <v>396</v>
      </c>
    </row>
    <row r="435" spans="1:42" x14ac:dyDescent="0.2">
      <c r="A435" s="40">
        <v>50</v>
      </c>
      <c r="B435" s="40">
        <v>434</v>
      </c>
      <c r="C435" s="40" t="s">
        <v>114</v>
      </c>
      <c r="D435" s="38" t="s">
        <v>218</v>
      </c>
      <c r="E435" s="32" t="s">
        <v>2186</v>
      </c>
      <c r="F435" s="32" t="s">
        <v>29</v>
      </c>
      <c r="G435" s="38" t="s">
        <v>29</v>
      </c>
      <c r="H435" s="32" t="s">
        <v>115</v>
      </c>
      <c r="I435" s="32" t="s">
        <v>243</v>
      </c>
      <c r="J435" s="32" t="s">
        <v>835</v>
      </c>
      <c r="K435" s="32" t="s">
        <v>129</v>
      </c>
      <c r="L435" s="32" t="s">
        <v>30</v>
      </c>
      <c r="M435" s="32" t="s">
        <v>30</v>
      </c>
      <c r="N435" s="40">
        <v>2012</v>
      </c>
      <c r="O435" s="32">
        <f>VLOOKUP(Data!N443, CPI!$A$2:$B$112, 2, 0)</f>
        <v>237.017</v>
      </c>
      <c r="P435" s="32" t="s">
        <v>16</v>
      </c>
      <c r="Q435" s="32" t="s">
        <v>4</v>
      </c>
      <c r="R435" s="32" t="s">
        <v>2363</v>
      </c>
      <c r="S435" s="32">
        <v>-6.65</v>
      </c>
      <c r="T435" s="32" t="s">
        <v>316</v>
      </c>
      <c r="U435" s="32">
        <v>-6.65</v>
      </c>
      <c r="V435" s="32" t="s">
        <v>316</v>
      </c>
      <c r="X435" s="32">
        <f t="shared" si="24"/>
        <v>-6.65</v>
      </c>
      <c r="Y435" s="32">
        <f>(CPI!$B$112/O435)*X435</f>
        <v>-8.5483336110911896</v>
      </c>
      <c r="Z435" s="38" t="s">
        <v>262</v>
      </c>
      <c r="AA435" s="35" t="s">
        <v>1412</v>
      </c>
      <c r="AB435" s="32">
        <v>36.6</v>
      </c>
      <c r="AC435" s="32" t="s">
        <v>2291</v>
      </c>
      <c r="AH435" s="32" t="s">
        <v>411</v>
      </c>
      <c r="AK435" s="40" t="s">
        <v>840</v>
      </c>
      <c r="AL435" s="32">
        <v>2014</v>
      </c>
      <c r="AM435" s="32" t="s">
        <v>841</v>
      </c>
      <c r="AN435" s="32" t="s">
        <v>842</v>
      </c>
      <c r="AO435" s="38" t="s">
        <v>843</v>
      </c>
      <c r="AP435" s="35" t="s">
        <v>396</v>
      </c>
    </row>
    <row r="436" spans="1:42" x14ac:dyDescent="0.2">
      <c r="A436" s="40">
        <v>50</v>
      </c>
      <c r="B436" s="40">
        <v>435</v>
      </c>
      <c r="C436" s="40" t="s">
        <v>114</v>
      </c>
      <c r="D436" s="38" t="s">
        <v>218</v>
      </c>
      <c r="E436" s="32" t="s">
        <v>2186</v>
      </c>
      <c r="F436" s="32" t="s">
        <v>29</v>
      </c>
      <c r="G436" s="38" t="s">
        <v>29</v>
      </c>
      <c r="H436" s="32" t="s">
        <v>115</v>
      </c>
      <c r="I436" s="32" t="s">
        <v>243</v>
      </c>
      <c r="J436" s="32" t="s">
        <v>835</v>
      </c>
      <c r="K436" s="32" t="s">
        <v>129</v>
      </c>
      <c r="L436" s="32" t="s">
        <v>30</v>
      </c>
      <c r="M436" s="32" t="s">
        <v>30</v>
      </c>
      <c r="N436" s="40">
        <v>2012</v>
      </c>
      <c r="O436" s="32">
        <f>VLOOKUP(Data!N444, CPI!$A$2:$B$112, 2, 0)</f>
        <v>240.00700000000001</v>
      </c>
      <c r="P436" s="32" t="s">
        <v>16</v>
      </c>
      <c r="Q436" s="32" t="s">
        <v>4</v>
      </c>
      <c r="R436" s="32" t="s">
        <v>2364</v>
      </c>
      <c r="S436" s="32">
        <v>111.23</v>
      </c>
      <c r="T436" s="32" t="s">
        <v>316</v>
      </c>
      <c r="U436" s="32">
        <v>111.23</v>
      </c>
      <c r="V436" s="32" t="s">
        <v>316</v>
      </c>
      <c r="X436" s="32">
        <f t="shared" si="24"/>
        <v>111.23</v>
      </c>
      <c r="Y436" s="32">
        <f>(CPI!$B$112/O436)*X436</f>
        <v>141.20086040198828</v>
      </c>
      <c r="Z436" s="38" t="s">
        <v>262</v>
      </c>
      <c r="AA436" s="35" t="s">
        <v>1412</v>
      </c>
      <c r="AB436" s="32">
        <v>36.6</v>
      </c>
      <c r="AC436" s="32" t="s">
        <v>2291</v>
      </c>
      <c r="AH436" s="32" t="s">
        <v>411</v>
      </c>
      <c r="AK436" s="40" t="s">
        <v>840</v>
      </c>
      <c r="AL436" s="32">
        <v>2014</v>
      </c>
      <c r="AM436" s="32" t="s">
        <v>841</v>
      </c>
      <c r="AN436" s="32" t="s">
        <v>842</v>
      </c>
      <c r="AO436" s="38" t="s">
        <v>843</v>
      </c>
      <c r="AP436" s="35" t="s">
        <v>396</v>
      </c>
    </row>
    <row r="437" spans="1:42" x14ac:dyDescent="0.2">
      <c r="A437" s="40">
        <v>50</v>
      </c>
      <c r="B437" s="40">
        <v>436</v>
      </c>
      <c r="C437" s="40" t="s">
        <v>114</v>
      </c>
      <c r="D437" s="38" t="s">
        <v>218</v>
      </c>
      <c r="E437" s="32" t="s">
        <v>2186</v>
      </c>
      <c r="F437" s="32" t="s">
        <v>29</v>
      </c>
      <c r="G437" s="38" t="s">
        <v>29</v>
      </c>
      <c r="H437" s="32" t="s">
        <v>115</v>
      </c>
      <c r="I437" s="32" t="s">
        <v>243</v>
      </c>
      <c r="J437" s="32" t="s">
        <v>835</v>
      </c>
      <c r="K437" s="32" t="s">
        <v>129</v>
      </c>
      <c r="L437" s="32" t="s">
        <v>30</v>
      </c>
      <c r="M437" s="32" t="s">
        <v>30</v>
      </c>
      <c r="N437" s="40">
        <v>2012</v>
      </c>
      <c r="O437" s="32">
        <f>VLOOKUP(Data!N445, CPI!$A$2:$B$112, 2, 0)</f>
        <v>245.12</v>
      </c>
      <c r="P437" s="32" t="s">
        <v>16</v>
      </c>
      <c r="Q437" s="32" t="s">
        <v>4</v>
      </c>
      <c r="R437" s="32" t="s">
        <v>2365</v>
      </c>
      <c r="S437" s="32">
        <v>11.35</v>
      </c>
      <c r="T437" s="32" t="s">
        <v>316</v>
      </c>
      <c r="U437" s="32">
        <v>11.35</v>
      </c>
      <c r="V437" s="32" t="s">
        <v>316</v>
      </c>
      <c r="X437" s="32">
        <f t="shared" si="24"/>
        <v>11.35</v>
      </c>
      <c r="Y437" s="32">
        <f>(CPI!$B$112/O437)*X437</f>
        <v>14.107706888462793</v>
      </c>
      <c r="Z437" s="38" t="s">
        <v>262</v>
      </c>
      <c r="AA437" s="35" t="s">
        <v>1412</v>
      </c>
      <c r="AB437" s="32">
        <v>36.6</v>
      </c>
      <c r="AC437" s="32" t="s">
        <v>2291</v>
      </c>
      <c r="AH437" s="32" t="s">
        <v>411</v>
      </c>
      <c r="AK437" s="40" t="s">
        <v>840</v>
      </c>
      <c r="AL437" s="32">
        <v>2014</v>
      </c>
      <c r="AM437" s="32" t="s">
        <v>841</v>
      </c>
      <c r="AN437" s="32" t="s">
        <v>842</v>
      </c>
      <c r="AO437" s="38" t="s">
        <v>843</v>
      </c>
      <c r="AP437" s="35" t="s">
        <v>396</v>
      </c>
    </row>
    <row r="438" spans="1:42" x14ac:dyDescent="0.2">
      <c r="A438" s="40">
        <v>50</v>
      </c>
      <c r="B438" s="40">
        <v>437</v>
      </c>
      <c r="C438" s="40" t="s">
        <v>114</v>
      </c>
      <c r="D438" s="38" t="s">
        <v>218</v>
      </c>
      <c r="E438" s="32" t="s">
        <v>2186</v>
      </c>
      <c r="F438" s="32" t="s">
        <v>29</v>
      </c>
      <c r="G438" s="38" t="s">
        <v>29</v>
      </c>
      <c r="H438" s="32" t="s">
        <v>115</v>
      </c>
      <c r="I438" s="32" t="s">
        <v>243</v>
      </c>
      <c r="J438" s="32" t="s">
        <v>835</v>
      </c>
      <c r="K438" s="32" t="s">
        <v>129</v>
      </c>
      <c r="L438" s="32" t="s">
        <v>30</v>
      </c>
      <c r="M438" s="32" t="s">
        <v>30</v>
      </c>
      <c r="N438" s="40">
        <v>2012</v>
      </c>
      <c r="O438" s="32">
        <f>VLOOKUP(Data!N1387, CPI!$A$2:$B$112, 2, 0)</f>
        <v>163</v>
      </c>
      <c r="P438" s="32" t="s">
        <v>16</v>
      </c>
      <c r="Q438" s="32" t="s">
        <v>4</v>
      </c>
      <c r="R438" s="32" t="s">
        <v>837</v>
      </c>
      <c r="S438" s="32">
        <v>2.44</v>
      </c>
      <c r="T438" s="32" t="s">
        <v>836</v>
      </c>
      <c r="Z438" s="38" t="s">
        <v>262</v>
      </c>
      <c r="AA438" s="35" t="s">
        <v>1412</v>
      </c>
      <c r="AB438" s="32">
        <v>36.6</v>
      </c>
      <c r="AC438" s="32" t="s">
        <v>2291</v>
      </c>
      <c r="AH438" s="32" t="s">
        <v>411</v>
      </c>
      <c r="AK438" s="40" t="s">
        <v>840</v>
      </c>
      <c r="AL438" s="32">
        <v>2014</v>
      </c>
      <c r="AM438" s="32" t="s">
        <v>841</v>
      </c>
      <c r="AN438" s="32" t="s">
        <v>842</v>
      </c>
      <c r="AO438" s="38" t="s">
        <v>843</v>
      </c>
      <c r="AP438" s="35" t="s">
        <v>396</v>
      </c>
    </row>
    <row r="439" spans="1:42" x14ac:dyDescent="0.2">
      <c r="A439" s="40">
        <v>50</v>
      </c>
      <c r="B439" s="40">
        <v>438</v>
      </c>
      <c r="C439" s="40" t="s">
        <v>114</v>
      </c>
      <c r="D439" s="38" t="s">
        <v>218</v>
      </c>
      <c r="E439" s="32" t="s">
        <v>2186</v>
      </c>
      <c r="F439" s="32" t="s">
        <v>29</v>
      </c>
      <c r="G439" s="38" t="s">
        <v>29</v>
      </c>
      <c r="H439" s="32" t="s">
        <v>115</v>
      </c>
      <c r="I439" s="32" t="s">
        <v>243</v>
      </c>
      <c r="J439" s="32" t="s">
        <v>835</v>
      </c>
      <c r="K439" s="32" t="s">
        <v>129</v>
      </c>
      <c r="L439" s="32" t="s">
        <v>30</v>
      </c>
      <c r="M439" s="32" t="s">
        <v>30</v>
      </c>
      <c r="N439" s="40">
        <v>2012</v>
      </c>
      <c r="O439" s="32">
        <f>VLOOKUP(Data!N1388, CPI!$A$2:$B$112, 2, 0)</f>
        <v>163</v>
      </c>
      <c r="P439" s="32" t="s">
        <v>16</v>
      </c>
      <c r="Q439" s="32" t="s">
        <v>4</v>
      </c>
      <c r="R439" s="32" t="s">
        <v>838</v>
      </c>
      <c r="S439" s="32">
        <v>135.37</v>
      </c>
      <c r="T439" s="32" t="s">
        <v>836</v>
      </c>
      <c r="Z439" s="38" t="s">
        <v>262</v>
      </c>
      <c r="AA439" s="35" t="s">
        <v>1412</v>
      </c>
      <c r="AB439" s="32">
        <v>36.6</v>
      </c>
      <c r="AC439" s="32" t="s">
        <v>2291</v>
      </c>
      <c r="AH439" s="32" t="s">
        <v>411</v>
      </c>
      <c r="AK439" s="40" t="s">
        <v>840</v>
      </c>
      <c r="AL439" s="32">
        <v>2014</v>
      </c>
      <c r="AM439" s="32" t="s">
        <v>841</v>
      </c>
      <c r="AN439" s="32" t="s">
        <v>842</v>
      </c>
      <c r="AO439" s="38" t="s">
        <v>843</v>
      </c>
      <c r="AP439" s="35" t="s">
        <v>396</v>
      </c>
    </row>
    <row r="440" spans="1:42" x14ac:dyDescent="0.2">
      <c r="A440" s="40">
        <v>50</v>
      </c>
      <c r="B440" s="40">
        <v>439</v>
      </c>
      <c r="C440" s="40" t="s">
        <v>114</v>
      </c>
      <c r="D440" s="38" t="s">
        <v>218</v>
      </c>
      <c r="E440" s="32" t="s">
        <v>2186</v>
      </c>
      <c r="F440" s="32" t="s">
        <v>29</v>
      </c>
      <c r="G440" s="38" t="s">
        <v>29</v>
      </c>
      <c r="H440" s="32" t="s">
        <v>115</v>
      </c>
      <c r="I440" s="32" t="s">
        <v>243</v>
      </c>
      <c r="J440" s="32" t="s">
        <v>835</v>
      </c>
      <c r="K440" s="32" t="s">
        <v>129</v>
      </c>
      <c r="L440" s="32" t="s">
        <v>30</v>
      </c>
      <c r="M440" s="32" t="s">
        <v>30</v>
      </c>
      <c r="N440" s="40">
        <v>2012</v>
      </c>
      <c r="O440" s="32">
        <f>VLOOKUP(Data!N1389, CPI!$A$2:$B$112, 2, 0)</f>
        <v>163</v>
      </c>
      <c r="P440" s="32" t="s">
        <v>16</v>
      </c>
      <c r="Q440" s="32" t="s">
        <v>4</v>
      </c>
      <c r="R440" s="32" t="s">
        <v>839</v>
      </c>
      <c r="S440" s="32">
        <v>7.7</v>
      </c>
      <c r="T440" s="32" t="s">
        <v>836</v>
      </c>
      <c r="Z440" s="38" t="s">
        <v>262</v>
      </c>
      <c r="AA440" s="35" t="s">
        <v>1412</v>
      </c>
      <c r="AB440" s="32">
        <v>36.6</v>
      </c>
      <c r="AC440" s="32" t="s">
        <v>2291</v>
      </c>
      <c r="AH440" s="32" t="s">
        <v>411</v>
      </c>
      <c r="AK440" s="40" t="s">
        <v>840</v>
      </c>
      <c r="AL440" s="32">
        <v>2014</v>
      </c>
      <c r="AM440" s="32" t="s">
        <v>841</v>
      </c>
      <c r="AN440" s="32" t="s">
        <v>842</v>
      </c>
      <c r="AO440" s="38" t="s">
        <v>843</v>
      </c>
      <c r="AP440" s="35" t="s">
        <v>396</v>
      </c>
    </row>
    <row r="441" spans="1:42" x14ac:dyDescent="0.2">
      <c r="A441" s="40">
        <v>51</v>
      </c>
      <c r="B441" s="40">
        <v>440</v>
      </c>
      <c r="C441" s="40" t="s">
        <v>114</v>
      </c>
      <c r="D441" s="38" t="s">
        <v>218</v>
      </c>
      <c r="E441" s="32" t="s">
        <v>2183</v>
      </c>
      <c r="F441" s="32" t="s">
        <v>244</v>
      </c>
      <c r="G441" s="38" t="s">
        <v>162</v>
      </c>
      <c r="H441" s="32" t="s">
        <v>115</v>
      </c>
      <c r="I441" s="32" t="s">
        <v>243</v>
      </c>
      <c r="J441" s="32" t="s">
        <v>835</v>
      </c>
      <c r="K441" s="32" t="s">
        <v>129</v>
      </c>
      <c r="L441" s="32" t="s">
        <v>30</v>
      </c>
      <c r="M441" s="32" t="s">
        <v>30</v>
      </c>
      <c r="N441" s="40">
        <v>2013</v>
      </c>
      <c r="O441" s="32">
        <f>VLOOKUP(Data!N45, CPI!$A$2:$B$112, 2, 0)</f>
        <v>224.93899999999999</v>
      </c>
      <c r="P441" s="32" t="s">
        <v>122</v>
      </c>
      <c r="Q441" s="32" t="s">
        <v>4</v>
      </c>
      <c r="R441" s="32" t="s">
        <v>850</v>
      </c>
      <c r="S441" s="32">
        <v>6031428</v>
      </c>
      <c r="T441" s="32" t="s">
        <v>305</v>
      </c>
      <c r="U441" s="32">
        <f t="shared" ref="U441:U446" si="25">S441/AB441</f>
        <v>376.96424999999999</v>
      </c>
      <c r="V441" s="32" t="s">
        <v>2211</v>
      </c>
      <c r="W441" s="32">
        <f>VLOOKUP(N441, 'Exchange rate-Kenya'!$A$3:$B$65, 2, 0)</f>
        <v>86.122878898265398</v>
      </c>
      <c r="X441" s="32">
        <f t="shared" ref="X441:X446" si="26">U441/W441</f>
        <v>4.3770511950174997</v>
      </c>
      <c r="Y441" s="32">
        <f>(CPI!$B$112/O441)*X441</f>
        <v>5.9286550250581183</v>
      </c>
      <c r="Z441" s="38" t="s">
        <v>303</v>
      </c>
      <c r="AA441" s="35" t="s">
        <v>1464</v>
      </c>
      <c r="AB441" s="32">
        <v>16000</v>
      </c>
      <c r="AC441" s="32" t="s">
        <v>2366</v>
      </c>
      <c r="AG441">
        <v>15509.583333333299</v>
      </c>
      <c r="AH441" s="32" t="s">
        <v>411</v>
      </c>
      <c r="AJ441" s="35" t="s">
        <v>2310</v>
      </c>
      <c r="AK441" s="40" t="s">
        <v>856</v>
      </c>
      <c r="AL441" s="32">
        <v>2015</v>
      </c>
      <c r="AM441" s="32" t="s">
        <v>857</v>
      </c>
      <c r="AN441" s="32" t="s">
        <v>858</v>
      </c>
      <c r="AO441" s="38" t="s">
        <v>859</v>
      </c>
      <c r="AP441" s="35" t="s">
        <v>396</v>
      </c>
    </row>
    <row r="442" spans="1:42" x14ac:dyDescent="0.2">
      <c r="A442" s="40">
        <v>51</v>
      </c>
      <c r="B442" s="40">
        <v>441</v>
      </c>
      <c r="C442" s="40" t="s">
        <v>114</v>
      </c>
      <c r="D442" s="38" t="s">
        <v>218</v>
      </c>
      <c r="E442" s="32" t="s">
        <v>2183</v>
      </c>
      <c r="F442" s="32" t="s">
        <v>244</v>
      </c>
      <c r="G442" s="38" t="s">
        <v>162</v>
      </c>
      <c r="H442" s="32" t="s">
        <v>115</v>
      </c>
      <c r="I442" s="32" t="s">
        <v>243</v>
      </c>
      <c r="J442" s="32" t="s">
        <v>835</v>
      </c>
      <c r="K442" s="32" t="s">
        <v>129</v>
      </c>
      <c r="L442" s="32" t="s">
        <v>30</v>
      </c>
      <c r="M442" s="32" t="s">
        <v>30</v>
      </c>
      <c r="N442" s="40">
        <v>2014</v>
      </c>
      <c r="O442" s="32">
        <f>VLOOKUP(Data!N46, CPI!$A$2:$B$112, 2, 0)</f>
        <v>224.93899999999999</v>
      </c>
      <c r="P442" s="32" t="s">
        <v>122</v>
      </c>
      <c r="Q442" s="32" t="s">
        <v>4</v>
      </c>
      <c r="R442" s="32" t="s">
        <v>851</v>
      </c>
      <c r="S442" s="32">
        <v>794949</v>
      </c>
      <c r="T442" s="32" t="s">
        <v>305</v>
      </c>
      <c r="U442" s="32">
        <f t="shared" si="25"/>
        <v>49.684312499999997</v>
      </c>
      <c r="V442" s="32" t="s">
        <v>2211</v>
      </c>
      <c r="W442" s="32">
        <f>VLOOKUP(N442, 'Exchange rate-Kenya'!$A$3:$B$65, 2, 0)</f>
        <v>87.922163808972698</v>
      </c>
      <c r="X442" s="32">
        <f t="shared" si="26"/>
        <v>0.56509428735112155</v>
      </c>
      <c r="Y442" s="32">
        <f>(CPI!$B$112/O442)*X442</f>
        <v>0.76541236030081861</v>
      </c>
      <c r="Z442" s="38" t="s">
        <v>303</v>
      </c>
      <c r="AA442" s="35" t="s">
        <v>1464</v>
      </c>
      <c r="AB442" s="32">
        <v>16000</v>
      </c>
      <c r="AC442" s="32" t="s">
        <v>2366</v>
      </c>
      <c r="AG442">
        <v>15746</v>
      </c>
      <c r="AH442" s="32" t="s">
        <v>411</v>
      </c>
      <c r="AJ442" s="35" t="s">
        <v>2310</v>
      </c>
      <c r="AK442" s="40" t="s">
        <v>856</v>
      </c>
      <c r="AL442" s="32">
        <v>2015</v>
      </c>
      <c r="AM442" s="32" t="s">
        <v>857</v>
      </c>
      <c r="AN442" s="32" t="s">
        <v>858</v>
      </c>
      <c r="AO442" s="38" t="s">
        <v>859</v>
      </c>
      <c r="AP442" s="35" t="s">
        <v>396</v>
      </c>
    </row>
    <row r="443" spans="1:42" x14ac:dyDescent="0.2">
      <c r="A443" s="40">
        <v>51</v>
      </c>
      <c r="B443" s="40">
        <v>442</v>
      </c>
      <c r="C443" s="40" t="s">
        <v>114</v>
      </c>
      <c r="D443" s="38" t="s">
        <v>218</v>
      </c>
      <c r="E443" s="32" t="s">
        <v>2183</v>
      </c>
      <c r="F443" s="32" t="s">
        <v>244</v>
      </c>
      <c r="G443" s="38" t="s">
        <v>162</v>
      </c>
      <c r="H443" s="32" t="s">
        <v>115</v>
      </c>
      <c r="I443" s="32" t="s">
        <v>243</v>
      </c>
      <c r="J443" s="32" t="s">
        <v>835</v>
      </c>
      <c r="K443" s="32" t="s">
        <v>129</v>
      </c>
      <c r="L443" s="32" t="s">
        <v>30</v>
      </c>
      <c r="M443" s="32" t="s">
        <v>30</v>
      </c>
      <c r="N443" s="40">
        <v>2015</v>
      </c>
      <c r="O443" s="32">
        <f>VLOOKUP(Data!N47, CPI!$A$2:$B$112, 2, 0)</f>
        <v>224.93899999999999</v>
      </c>
      <c r="P443" s="32" t="s">
        <v>122</v>
      </c>
      <c r="Q443" s="32" t="s">
        <v>4</v>
      </c>
      <c r="R443" s="32" t="s">
        <v>852</v>
      </c>
      <c r="S443" s="32">
        <v>1213329</v>
      </c>
      <c r="T443" s="32" t="s">
        <v>305</v>
      </c>
      <c r="U443" s="32">
        <f t="shared" si="25"/>
        <v>75.833062499999997</v>
      </c>
      <c r="V443" s="32" t="s">
        <v>2211</v>
      </c>
      <c r="W443" s="32">
        <f>VLOOKUP(N443, 'Exchange rate-Kenya'!$A$3:$B$65, 2, 0)</f>
        <v>98.178453326527105</v>
      </c>
      <c r="X443" s="32">
        <f t="shared" si="26"/>
        <v>0.77240025617220076</v>
      </c>
      <c r="Y443" s="32">
        <f>(CPI!$B$112/O443)*X443</f>
        <v>1.0462054145777904</v>
      </c>
      <c r="Z443" s="38" t="s">
        <v>303</v>
      </c>
      <c r="AA443" s="35" t="s">
        <v>1464</v>
      </c>
      <c r="AB443" s="32">
        <v>16000</v>
      </c>
      <c r="AC443" s="32" t="s">
        <v>2366</v>
      </c>
      <c r="AG443">
        <v>15858.916666666701</v>
      </c>
      <c r="AH443" s="32" t="s">
        <v>411</v>
      </c>
      <c r="AJ443" s="35" t="s">
        <v>2310</v>
      </c>
      <c r="AK443" s="40" t="s">
        <v>856</v>
      </c>
      <c r="AL443" s="32">
        <v>2015</v>
      </c>
      <c r="AM443" s="32" t="s">
        <v>857</v>
      </c>
      <c r="AN443" s="32" t="s">
        <v>858</v>
      </c>
      <c r="AO443" s="38" t="s">
        <v>859</v>
      </c>
      <c r="AP443" s="35" t="s">
        <v>396</v>
      </c>
    </row>
    <row r="444" spans="1:42" x14ac:dyDescent="0.2">
      <c r="A444" s="40">
        <v>51</v>
      </c>
      <c r="B444" s="40">
        <v>443</v>
      </c>
      <c r="C444" s="40" t="s">
        <v>114</v>
      </c>
      <c r="D444" s="38" t="s">
        <v>218</v>
      </c>
      <c r="E444" s="32" t="s">
        <v>2183</v>
      </c>
      <c r="F444" s="32" t="s">
        <v>244</v>
      </c>
      <c r="G444" s="38" t="s">
        <v>162</v>
      </c>
      <c r="H444" s="32" t="s">
        <v>115</v>
      </c>
      <c r="I444" s="32" t="s">
        <v>243</v>
      </c>
      <c r="J444" s="32" t="s">
        <v>835</v>
      </c>
      <c r="K444" s="32" t="s">
        <v>129</v>
      </c>
      <c r="L444" s="32" t="s">
        <v>30</v>
      </c>
      <c r="M444" s="32" t="s">
        <v>30</v>
      </c>
      <c r="N444" s="40">
        <v>2016</v>
      </c>
      <c r="O444" s="32">
        <f>VLOOKUP(Data!N48, CPI!$A$2:$B$112, 2, 0)</f>
        <v>224.93899999999999</v>
      </c>
      <c r="P444" s="32" t="s">
        <v>122</v>
      </c>
      <c r="Q444" s="32" t="s">
        <v>4</v>
      </c>
      <c r="R444" s="32" t="s">
        <v>853</v>
      </c>
      <c r="S444" s="32">
        <v>30000</v>
      </c>
      <c r="T444" s="32" t="s">
        <v>305</v>
      </c>
      <c r="U444" s="32">
        <f t="shared" si="25"/>
        <v>1.875</v>
      </c>
      <c r="V444" s="32" t="s">
        <v>2211</v>
      </c>
      <c r="W444" s="32">
        <f>VLOOKUP(N444, 'Exchange rate-Kenya'!$A$3:$B$65, 2, 0)</f>
        <v>101.504369498594</v>
      </c>
      <c r="X444" s="32">
        <f t="shared" si="26"/>
        <v>1.8472111193459231E-2</v>
      </c>
      <c r="Y444" s="32">
        <f>(CPI!$B$112/O444)*X444</f>
        <v>2.502021794380601E-2</v>
      </c>
      <c r="Z444" s="38" t="s">
        <v>303</v>
      </c>
      <c r="AA444" s="35" t="s">
        <v>1464</v>
      </c>
      <c r="AB444" s="32">
        <v>16000</v>
      </c>
      <c r="AC444" s="32" t="s">
        <v>2366</v>
      </c>
      <c r="AG444">
        <v>15994.25</v>
      </c>
      <c r="AH444" s="32" t="s">
        <v>411</v>
      </c>
      <c r="AJ444" s="35" t="s">
        <v>2310</v>
      </c>
      <c r="AK444" s="40" t="s">
        <v>856</v>
      </c>
      <c r="AL444" s="32">
        <v>2015</v>
      </c>
      <c r="AM444" s="32" t="s">
        <v>857</v>
      </c>
      <c r="AN444" s="32" t="s">
        <v>858</v>
      </c>
      <c r="AO444" s="38" t="s">
        <v>859</v>
      </c>
      <c r="AP444" s="35" t="s">
        <v>396</v>
      </c>
    </row>
    <row r="445" spans="1:42" x14ac:dyDescent="0.2">
      <c r="A445" s="40">
        <v>51</v>
      </c>
      <c r="B445" s="40">
        <v>444</v>
      </c>
      <c r="C445" s="40" t="s">
        <v>114</v>
      </c>
      <c r="D445" s="38" t="s">
        <v>218</v>
      </c>
      <c r="E445" s="32" t="s">
        <v>2183</v>
      </c>
      <c r="F445" s="32" t="s">
        <v>244</v>
      </c>
      <c r="G445" s="38" t="s">
        <v>162</v>
      </c>
      <c r="H445" s="32" t="s">
        <v>115</v>
      </c>
      <c r="I445" s="32" t="s">
        <v>243</v>
      </c>
      <c r="J445" s="32" t="s">
        <v>835</v>
      </c>
      <c r="K445" s="32" t="s">
        <v>129</v>
      </c>
      <c r="L445" s="32" t="s">
        <v>30</v>
      </c>
      <c r="M445" s="32" t="s">
        <v>30</v>
      </c>
      <c r="N445" s="40">
        <v>2017</v>
      </c>
      <c r="O445" s="32">
        <f>VLOOKUP(Data!N49, CPI!$A$2:$B$112, 2, 0)</f>
        <v>224.93899999999999</v>
      </c>
      <c r="P445" s="32" t="s">
        <v>122</v>
      </c>
      <c r="Q445" s="32" t="s">
        <v>4</v>
      </c>
      <c r="R445" s="32" t="s">
        <v>854</v>
      </c>
      <c r="S445" s="32">
        <v>700000</v>
      </c>
      <c r="T445" s="32" t="s">
        <v>305</v>
      </c>
      <c r="U445" s="32">
        <f t="shared" si="25"/>
        <v>43.75</v>
      </c>
      <c r="V445" s="32" t="s">
        <v>2211</v>
      </c>
      <c r="W445" s="32">
        <f>VLOOKUP(N445, 'Exchange rate-Kenya'!$A$3:$B$65, 2, 0)</f>
        <v>103.410004519014</v>
      </c>
      <c r="X445" s="32">
        <f t="shared" si="26"/>
        <v>0.42307318526376902</v>
      </c>
      <c r="Y445" s="32">
        <f>(CPI!$B$112/O445)*X445</f>
        <v>0.57304675088941026</v>
      </c>
      <c r="Z445" s="38" t="s">
        <v>303</v>
      </c>
      <c r="AA445" s="35" t="s">
        <v>1464</v>
      </c>
      <c r="AB445" s="32">
        <v>16000</v>
      </c>
      <c r="AC445" s="32" t="s">
        <v>2366</v>
      </c>
      <c r="AG445">
        <v>16105.125</v>
      </c>
      <c r="AH445" s="32" t="s">
        <v>411</v>
      </c>
      <c r="AJ445" s="35" t="s">
        <v>2310</v>
      </c>
      <c r="AK445" s="40" t="s">
        <v>856</v>
      </c>
      <c r="AL445" s="32">
        <v>2015</v>
      </c>
      <c r="AM445" s="32" t="s">
        <v>857</v>
      </c>
      <c r="AN445" s="32" t="s">
        <v>858</v>
      </c>
      <c r="AO445" s="38" t="s">
        <v>859</v>
      </c>
      <c r="AP445" s="35" t="s">
        <v>396</v>
      </c>
    </row>
    <row r="446" spans="1:42" x14ac:dyDescent="0.2">
      <c r="A446" s="40">
        <v>51</v>
      </c>
      <c r="B446" s="40">
        <v>445</v>
      </c>
      <c r="C446" s="40" t="s">
        <v>114</v>
      </c>
      <c r="D446" s="38" t="s">
        <v>218</v>
      </c>
      <c r="E446" s="32" t="s">
        <v>2183</v>
      </c>
      <c r="F446" s="32" t="s">
        <v>244</v>
      </c>
      <c r="G446" s="38" t="s">
        <v>162</v>
      </c>
      <c r="H446" s="32" t="s">
        <v>115</v>
      </c>
      <c r="I446" s="32" t="s">
        <v>243</v>
      </c>
      <c r="J446" s="32" t="s">
        <v>835</v>
      </c>
      <c r="K446" s="32" t="s">
        <v>129</v>
      </c>
      <c r="L446" s="32" t="s">
        <v>30</v>
      </c>
      <c r="M446" s="32" t="s">
        <v>30</v>
      </c>
      <c r="N446" s="40">
        <v>2018</v>
      </c>
      <c r="O446" s="32">
        <f>VLOOKUP(Data!N50, CPI!$A$2:$B$112, 2, 0)</f>
        <v>224.93899999999999</v>
      </c>
      <c r="P446" s="32" t="s">
        <v>122</v>
      </c>
      <c r="Q446" s="32" t="s">
        <v>4</v>
      </c>
      <c r="R446" s="32" t="s">
        <v>855</v>
      </c>
      <c r="S446" s="32">
        <v>9448532</v>
      </c>
      <c r="T446" s="32" t="s">
        <v>305</v>
      </c>
      <c r="U446" s="32">
        <f t="shared" si="25"/>
        <v>590.53324999999995</v>
      </c>
      <c r="V446" s="32" t="s">
        <v>2211</v>
      </c>
      <c r="W446" s="32">
        <f>VLOOKUP(N446, 'Exchange rate-Kenya'!$A$3:$B$65, 2, 0)</f>
        <v>101.301574049018</v>
      </c>
      <c r="X446" s="32">
        <f t="shared" si="26"/>
        <v>5.829457790204243</v>
      </c>
      <c r="Y446" s="32">
        <f>(CPI!$B$112/O446)*X446</f>
        <v>7.8959195772258735</v>
      </c>
      <c r="Z446" s="38" t="s">
        <v>303</v>
      </c>
      <c r="AA446" s="35" t="s">
        <v>1464</v>
      </c>
      <c r="AB446" s="32">
        <v>16000</v>
      </c>
      <c r="AC446" s="32" t="s">
        <v>2366</v>
      </c>
      <c r="AG446">
        <v>16302.25</v>
      </c>
      <c r="AH446" s="32" t="s">
        <v>411</v>
      </c>
      <c r="AJ446" s="35" t="s">
        <v>2310</v>
      </c>
      <c r="AK446" s="40" t="s">
        <v>856</v>
      </c>
      <c r="AL446" s="32">
        <v>2015</v>
      </c>
      <c r="AM446" s="32" t="s">
        <v>857</v>
      </c>
      <c r="AN446" s="32" t="s">
        <v>858</v>
      </c>
      <c r="AO446" s="38" t="s">
        <v>859</v>
      </c>
      <c r="AP446" s="35" t="s">
        <v>396</v>
      </c>
    </row>
    <row r="447" spans="1:42" x14ac:dyDescent="0.2">
      <c r="A447" s="40">
        <v>51</v>
      </c>
      <c r="B447" s="40">
        <v>446</v>
      </c>
      <c r="C447" s="40" t="s">
        <v>114</v>
      </c>
      <c r="D447" s="38" t="s">
        <v>218</v>
      </c>
      <c r="E447" s="32" t="s">
        <v>2183</v>
      </c>
      <c r="F447" s="32" t="s">
        <v>244</v>
      </c>
      <c r="G447" s="38" t="s">
        <v>162</v>
      </c>
      <c r="H447" s="32" t="s">
        <v>115</v>
      </c>
      <c r="I447" s="32" t="s">
        <v>243</v>
      </c>
      <c r="J447" s="32" t="s">
        <v>835</v>
      </c>
      <c r="K447" s="32" t="s">
        <v>129</v>
      </c>
      <c r="L447" s="32" t="s">
        <v>30</v>
      </c>
      <c r="M447" s="32" t="s">
        <v>30</v>
      </c>
      <c r="N447" s="40">
        <v>2012</v>
      </c>
      <c r="O447" s="32">
        <f>VLOOKUP(Data!N1390, CPI!$A$2:$B$112, 2, 0)</f>
        <v>163</v>
      </c>
      <c r="P447" s="32" t="s">
        <v>122</v>
      </c>
      <c r="Q447" s="32" t="s">
        <v>4</v>
      </c>
      <c r="R447" s="32" t="s">
        <v>844</v>
      </c>
      <c r="S447" s="32">
        <v>77326</v>
      </c>
      <c r="T447" s="32" t="s">
        <v>305</v>
      </c>
      <c r="Z447" s="38" t="s">
        <v>303</v>
      </c>
      <c r="AA447" s="35" t="s">
        <v>1464</v>
      </c>
      <c r="AB447" s="32">
        <v>16000</v>
      </c>
      <c r="AC447" s="32" t="s">
        <v>2366</v>
      </c>
      <c r="AH447" s="32" t="s">
        <v>411</v>
      </c>
      <c r="AK447" s="40" t="s">
        <v>856</v>
      </c>
      <c r="AL447" s="32">
        <v>2015</v>
      </c>
      <c r="AM447" s="32" t="s">
        <v>857</v>
      </c>
      <c r="AN447" s="32" t="s">
        <v>858</v>
      </c>
      <c r="AO447" s="38" t="s">
        <v>859</v>
      </c>
      <c r="AP447" s="35" t="s">
        <v>396</v>
      </c>
    </row>
    <row r="448" spans="1:42" x14ac:dyDescent="0.2">
      <c r="A448" s="40">
        <v>51</v>
      </c>
      <c r="B448" s="40">
        <v>447</v>
      </c>
      <c r="C448" s="40" t="s">
        <v>114</v>
      </c>
      <c r="D448" s="38" t="s">
        <v>218</v>
      </c>
      <c r="E448" s="32" t="s">
        <v>2183</v>
      </c>
      <c r="F448" s="32" t="s">
        <v>244</v>
      </c>
      <c r="G448" s="38" t="s">
        <v>162</v>
      </c>
      <c r="H448" s="32" t="s">
        <v>115</v>
      </c>
      <c r="I448" s="32" t="s">
        <v>243</v>
      </c>
      <c r="J448" s="32" t="s">
        <v>835</v>
      </c>
      <c r="K448" s="32" t="s">
        <v>129</v>
      </c>
      <c r="L448" s="32" t="s">
        <v>30</v>
      </c>
      <c r="M448" s="32" t="s">
        <v>30</v>
      </c>
      <c r="N448" s="40">
        <v>2012</v>
      </c>
      <c r="O448" s="32">
        <f>VLOOKUP(Data!N1391, CPI!$A$2:$B$112, 2, 0)</f>
        <v>163</v>
      </c>
      <c r="P448" s="32" t="s">
        <v>122</v>
      </c>
      <c r="Q448" s="32" t="s">
        <v>4</v>
      </c>
      <c r="R448" s="32" t="s">
        <v>845</v>
      </c>
      <c r="S448" s="32">
        <v>11521</v>
      </c>
      <c r="T448" s="32" t="s">
        <v>305</v>
      </c>
      <c r="Z448" s="38" t="s">
        <v>303</v>
      </c>
      <c r="AA448" s="35" t="s">
        <v>1464</v>
      </c>
      <c r="AB448" s="32">
        <v>16000</v>
      </c>
      <c r="AC448" s="32" t="s">
        <v>2366</v>
      </c>
      <c r="AH448" s="32" t="s">
        <v>411</v>
      </c>
      <c r="AK448" s="40" t="s">
        <v>856</v>
      </c>
      <c r="AL448" s="32">
        <v>2015</v>
      </c>
      <c r="AM448" s="32" t="s">
        <v>857</v>
      </c>
      <c r="AN448" s="32" t="s">
        <v>858</v>
      </c>
      <c r="AO448" s="38" t="s">
        <v>859</v>
      </c>
      <c r="AP448" s="35" t="s">
        <v>396</v>
      </c>
    </row>
    <row r="449" spans="1:42" x14ac:dyDescent="0.2">
      <c r="A449" s="40">
        <v>51</v>
      </c>
      <c r="B449" s="40">
        <v>448</v>
      </c>
      <c r="C449" s="40" t="s">
        <v>114</v>
      </c>
      <c r="D449" s="38" t="s">
        <v>218</v>
      </c>
      <c r="E449" s="32" t="s">
        <v>2183</v>
      </c>
      <c r="F449" s="32" t="s">
        <v>244</v>
      </c>
      <c r="G449" s="38" t="s">
        <v>162</v>
      </c>
      <c r="H449" s="32" t="s">
        <v>115</v>
      </c>
      <c r="I449" s="32" t="s">
        <v>243</v>
      </c>
      <c r="J449" s="32" t="s">
        <v>835</v>
      </c>
      <c r="K449" s="32" t="s">
        <v>129</v>
      </c>
      <c r="L449" s="32" t="s">
        <v>30</v>
      </c>
      <c r="M449" s="32" t="s">
        <v>30</v>
      </c>
      <c r="N449" s="40">
        <v>2012</v>
      </c>
      <c r="O449" s="32">
        <f>VLOOKUP(Data!N1392, CPI!$A$2:$B$112, 2, 0)</f>
        <v>163</v>
      </c>
      <c r="P449" s="32" t="s">
        <v>122</v>
      </c>
      <c r="Q449" s="32" t="s">
        <v>4</v>
      </c>
      <c r="R449" s="32" t="s">
        <v>846</v>
      </c>
      <c r="S449" s="32">
        <v>93333</v>
      </c>
      <c r="T449" s="32" t="s">
        <v>305</v>
      </c>
      <c r="Z449" s="38" t="s">
        <v>303</v>
      </c>
      <c r="AA449" s="35" t="s">
        <v>1464</v>
      </c>
      <c r="AB449" s="32">
        <v>16000</v>
      </c>
      <c r="AC449" s="32" t="s">
        <v>2366</v>
      </c>
      <c r="AH449" s="32" t="s">
        <v>411</v>
      </c>
      <c r="AK449" s="40" t="s">
        <v>856</v>
      </c>
      <c r="AL449" s="32">
        <v>2015</v>
      </c>
      <c r="AM449" s="32" t="s">
        <v>857</v>
      </c>
      <c r="AN449" s="32" t="s">
        <v>858</v>
      </c>
      <c r="AO449" s="38" t="s">
        <v>859</v>
      </c>
      <c r="AP449" s="35" t="s">
        <v>396</v>
      </c>
    </row>
    <row r="450" spans="1:42" x14ac:dyDescent="0.2">
      <c r="A450" s="40">
        <v>51</v>
      </c>
      <c r="B450" s="40">
        <v>449</v>
      </c>
      <c r="C450" s="40" t="s">
        <v>114</v>
      </c>
      <c r="D450" s="38" t="s">
        <v>218</v>
      </c>
      <c r="E450" s="32" t="s">
        <v>2183</v>
      </c>
      <c r="F450" s="32" t="s">
        <v>244</v>
      </c>
      <c r="G450" s="38" t="s">
        <v>162</v>
      </c>
      <c r="H450" s="32" t="s">
        <v>115</v>
      </c>
      <c r="I450" s="32" t="s">
        <v>243</v>
      </c>
      <c r="J450" s="32" t="s">
        <v>835</v>
      </c>
      <c r="K450" s="32" t="s">
        <v>129</v>
      </c>
      <c r="L450" s="32" t="s">
        <v>30</v>
      </c>
      <c r="M450" s="32" t="s">
        <v>30</v>
      </c>
      <c r="N450" s="40">
        <v>2012</v>
      </c>
      <c r="O450" s="32">
        <f>VLOOKUP(Data!N1393, CPI!$A$2:$B$112, 2, 0)</f>
        <v>163</v>
      </c>
      <c r="P450" s="32" t="s">
        <v>122</v>
      </c>
      <c r="Q450" s="32" t="s">
        <v>4</v>
      </c>
      <c r="R450" s="32" t="s">
        <v>847</v>
      </c>
      <c r="S450" s="32">
        <v>15000</v>
      </c>
      <c r="T450" s="32" t="s">
        <v>305</v>
      </c>
      <c r="Z450" s="38" t="s">
        <v>303</v>
      </c>
      <c r="AA450" s="35" t="s">
        <v>1464</v>
      </c>
      <c r="AB450" s="32">
        <v>16000</v>
      </c>
      <c r="AC450" s="32" t="s">
        <v>2366</v>
      </c>
      <c r="AH450" s="32" t="s">
        <v>411</v>
      </c>
      <c r="AK450" s="40" t="s">
        <v>856</v>
      </c>
      <c r="AL450" s="32">
        <v>2015</v>
      </c>
      <c r="AM450" s="32" t="s">
        <v>857</v>
      </c>
      <c r="AN450" s="32" t="s">
        <v>858</v>
      </c>
      <c r="AO450" s="38" t="s">
        <v>859</v>
      </c>
      <c r="AP450" s="35" t="s">
        <v>396</v>
      </c>
    </row>
    <row r="451" spans="1:42" x14ac:dyDescent="0.2">
      <c r="A451" s="40">
        <v>51</v>
      </c>
      <c r="B451" s="40">
        <v>450</v>
      </c>
      <c r="C451" s="40" t="s">
        <v>114</v>
      </c>
      <c r="D451" s="38" t="s">
        <v>218</v>
      </c>
      <c r="E451" s="32" t="s">
        <v>2183</v>
      </c>
      <c r="F451" s="32" t="s">
        <v>244</v>
      </c>
      <c r="G451" s="38" t="s">
        <v>162</v>
      </c>
      <c r="H451" s="32" t="s">
        <v>115</v>
      </c>
      <c r="I451" s="32" t="s">
        <v>243</v>
      </c>
      <c r="J451" s="32" t="s">
        <v>835</v>
      </c>
      <c r="K451" s="32" t="s">
        <v>129</v>
      </c>
      <c r="L451" s="32" t="s">
        <v>30</v>
      </c>
      <c r="M451" s="32" t="s">
        <v>30</v>
      </c>
      <c r="N451" s="40">
        <v>2012</v>
      </c>
      <c r="O451" s="32">
        <f>VLOOKUP(Data!N1394, CPI!$A$2:$B$112, 2, 0)</f>
        <v>163</v>
      </c>
      <c r="P451" s="32" t="s">
        <v>122</v>
      </c>
      <c r="Q451" s="32" t="s">
        <v>4</v>
      </c>
      <c r="R451" s="32" t="s">
        <v>848</v>
      </c>
      <c r="S451" s="32">
        <v>350000</v>
      </c>
      <c r="T451" s="32" t="s">
        <v>305</v>
      </c>
      <c r="Z451" s="38" t="s">
        <v>303</v>
      </c>
      <c r="AA451" s="35" t="s">
        <v>1464</v>
      </c>
      <c r="AB451" s="32">
        <v>16000</v>
      </c>
      <c r="AC451" s="32" t="s">
        <v>2366</v>
      </c>
      <c r="AH451" s="32" t="s">
        <v>411</v>
      </c>
      <c r="AK451" s="40" t="s">
        <v>856</v>
      </c>
      <c r="AL451" s="32">
        <v>2015</v>
      </c>
      <c r="AM451" s="32" t="s">
        <v>857</v>
      </c>
      <c r="AN451" s="32" t="s">
        <v>858</v>
      </c>
      <c r="AO451" s="38" t="s">
        <v>859</v>
      </c>
      <c r="AP451" s="35" t="s">
        <v>396</v>
      </c>
    </row>
    <row r="452" spans="1:42" x14ac:dyDescent="0.2">
      <c r="A452" s="40">
        <v>51</v>
      </c>
      <c r="B452" s="40">
        <v>451</v>
      </c>
      <c r="C452" s="40" t="s">
        <v>114</v>
      </c>
      <c r="D452" s="38" t="s">
        <v>218</v>
      </c>
      <c r="E452" s="32" t="s">
        <v>2183</v>
      </c>
      <c r="F452" s="32" t="s">
        <v>244</v>
      </c>
      <c r="G452" s="38" t="s">
        <v>162</v>
      </c>
      <c r="H452" s="32" t="s">
        <v>115</v>
      </c>
      <c r="I452" s="32" t="s">
        <v>243</v>
      </c>
      <c r="J452" s="32" t="s">
        <v>835</v>
      </c>
      <c r="K452" s="32" t="s">
        <v>129</v>
      </c>
      <c r="L452" s="32" t="s">
        <v>30</v>
      </c>
      <c r="M452" s="32" t="s">
        <v>30</v>
      </c>
      <c r="N452" s="40">
        <v>2012</v>
      </c>
      <c r="O452" s="32">
        <f>VLOOKUP(Data!N1395, CPI!$A$2:$B$112, 2, 0)</f>
        <v>163</v>
      </c>
      <c r="P452" s="32" t="s">
        <v>122</v>
      </c>
      <c r="Q452" s="32" t="s">
        <v>4</v>
      </c>
      <c r="R452" s="32" t="s">
        <v>849</v>
      </c>
      <c r="S452" s="32">
        <v>57613</v>
      </c>
      <c r="T452" s="32" t="s">
        <v>305</v>
      </c>
      <c r="Z452" s="38" t="s">
        <v>303</v>
      </c>
      <c r="AA452" s="35" t="s">
        <v>1464</v>
      </c>
      <c r="AB452" s="32">
        <v>16000</v>
      </c>
      <c r="AC452" s="32" t="s">
        <v>2366</v>
      </c>
      <c r="AH452" s="32" t="s">
        <v>411</v>
      </c>
      <c r="AK452" s="40" t="s">
        <v>856</v>
      </c>
      <c r="AL452" s="32">
        <v>2015</v>
      </c>
      <c r="AM452" s="32" t="s">
        <v>857</v>
      </c>
      <c r="AN452" s="32" t="s">
        <v>858</v>
      </c>
      <c r="AO452" s="38" t="s">
        <v>859</v>
      </c>
      <c r="AP452" s="35" t="s">
        <v>396</v>
      </c>
    </row>
    <row r="453" spans="1:42" x14ac:dyDescent="0.2">
      <c r="A453" s="40">
        <v>52</v>
      </c>
      <c r="B453" s="40">
        <v>452</v>
      </c>
      <c r="C453" s="40" t="s">
        <v>241</v>
      </c>
      <c r="D453" s="38" t="s">
        <v>241</v>
      </c>
      <c r="E453" s="32" t="s">
        <v>2186</v>
      </c>
      <c r="F453" s="32" t="s">
        <v>29</v>
      </c>
      <c r="G453" s="38" t="s">
        <v>29</v>
      </c>
      <c r="H453" s="32" t="s">
        <v>115</v>
      </c>
      <c r="I453" s="32" t="s">
        <v>120</v>
      </c>
      <c r="J453" s="32" t="s">
        <v>129</v>
      </c>
      <c r="K453" s="32" t="s">
        <v>129</v>
      </c>
      <c r="L453" s="32" t="s">
        <v>30</v>
      </c>
      <c r="M453" s="32" t="s">
        <v>30</v>
      </c>
      <c r="N453" s="40">
        <v>2007</v>
      </c>
      <c r="O453" s="32">
        <f>VLOOKUP(Data!N446, CPI!$A$2:$B$112, 2, 0)</f>
        <v>251.107</v>
      </c>
      <c r="P453" s="32" t="s">
        <v>21</v>
      </c>
      <c r="Q453" s="32" t="s">
        <v>239</v>
      </c>
      <c r="R453" s="32" t="s">
        <v>860</v>
      </c>
      <c r="S453" s="32">
        <v>80900000</v>
      </c>
      <c r="T453" s="32" t="s">
        <v>300</v>
      </c>
      <c r="U453" s="32">
        <f t="shared" ref="U453:U469" si="27">S453/AB453</f>
        <v>60.809419221188435</v>
      </c>
      <c r="V453" s="32" t="s">
        <v>316</v>
      </c>
      <c r="X453" s="32">
        <f t="shared" ref="X453:X470" si="28">U453</f>
        <v>60.809419221188435</v>
      </c>
      <c r="Y453" s="32">
        <f>(CPI!$B$112/O453)*X453</f>
        <v>73.782157477486592</v>
      </c>
      <c r="Z453" s="38" t="s">
        <v>262</v>
      </c>
      <c r="AA453" s="35" t="s">
        <v>2372</v>
      </c>
      <c r="AB453" s="32">
        <f>289779+22343+64720+623424+327469+68+2583</f>
        <v>1330386</v>
      </c>
      <c r="AC453" s="32" t="s">
        <v>2375</v>
      </c>
      <c r="AH453" s="32" t="s">
        <v>411</v>
      </c>
      <c r="AJ453" s="35" t="s">
        <v>2278</v>
      </c>
      <c r="AK453" s="40" t="s">
        <v>879</v>
      </c>
      <c r="AL453" s="32">
        <v>2015</v>
      </c>
      <c r="AM453" s="32" t="s">
        <v>880</v>
      </c>
      <c r="AN453" s="32" t="s">
        <v>881</v>
      </c>
      <c r="AO453" s="38" t="s">
        <v>882</v>
      </c>
      <c r="AP453" s="35" t="s">
        <v>396</v>
      </c>
    </row>
    <row r="454" spans="1:42" x14ac:dyDescent="0.2">
      <c r="A454" s="40">
        <v>52</v>
      </c>
      <c r="B454" s="40">
        <v>453</v>
      </c>
      <c r="C454" s="40" t="s">
        <v>241</v>
      </c>
      <c r="D454" s="38" t="s">
        <v>241</v>
      </c>
      <c r="E454" s="32" t="s">
        <v>2186</v>
      </c>
      <c r="F454" s="32" t="s">
        <v>29</v>
      </c>
      <c r="G454" s="38" t="s">
        <v>29</v>
      </c>
      <c r="H454" s="32" t="s">
        <v>115</v>
      </c>
      <c r="I454" s="32" t="s">
        <v>120</v>
      </c>
      <c r="J454" s="32" t="s">
        <v>129</v>
      </c>
      <c r="K454" s="32" t="s">
        <v>129</v>
      </c>
      <c r="L454" s="32" t="s">
        <v>30</v>
      </c>
      <c r="M454" s="32" t="s">
        <v>30</v>
      </c>
      <c r="N454" s="40">
        <v>2007</v>
      </c>
      <c r="O454" s="32">
        <f>VLOOKUP(Data!N447, CPI!$A$2:$B$112, 2, 0)</f>
        <v>229.59399999999999</v>
      </c>
      <c r="P454" s="32" t="s">
        <v>21</v>
      </c>
      <c r="Q454" s="32" t="s">
        <v>239</v>
      </c>
      <c r="R454" s="32" t="s">
        <v>861</v>
      </c>
      <c r="S454" s="32">
        <v>290200000</v>
      </c>
      <c r="T454" s="32" t="s">
        <v>300</v>
      </c>
      <c r="U454" s="32">
        <f t="shared" si="27"/>
        <v>34.653228888039742</v>
      </c>
      <c r="V454" s="32" t="s">
        <v>316</v>
      </c>
      <c r="X454" s="32">
        <f t="shared" si="28"/>
        <v>34.653228888039742</v>
      </c>
      <c r="Y454" s="32">
        <f>(CPI!$B$112/O454)*X454</f>
        <v>45.985666675148586</v>
      </c>
      <c r="Z454" s="38" t="s">
        <v>262</v>
      </c>
      <c r="AA454" s="35" t="s">
        <v>2372</v>
      </c>
      <c r="AB454" s="32">
        <f>131067+2686984+381133+4677692+467787+4947+19146+5644</f>
        <v>8374400</v>
      </c>
      <c r="AC454" s="32" t="s">
        <v>2375</v>
      </c>
      <c r="AH454" s="32" t="s">
        <v>411</v>
      </c>
      <c r="AJ454" s="35" t="s">
        <v>2278</v>
      </c>
      <c r="AK454" s="40" t="s">
        <v>879</v>
      </c>
      <c r="AL454" s="32">
        <v>2015</v>
      </c>
      <c r="AM454" s="32" t="s">
        <v>880</v>
      </c>
      <c r="AN454" s="32" t="s">
        <v>881</v>
      </c>
      <c r="AO454" s="38" t="s">
        <v>882</v>
      </c>
      <c r="AP454" s="35" t="s">
        <v>396</v>
      </c>
    </row>
    <row r="455" spans="1:42" x14ac:dyDescent="0.2">
      <c r="A455" s="40">
        <v>52</v>
      </c>
      <c r="B455" s="40">
        <v>454</v>
      </c>
      <c r="C455" s="40" t="s">
        <v>241</v>
      </c>
      <c r="D455" s="38" t="s">
        <v>241</v>
      </c>
      <c r="E455" s="32" t="s">
        <v>2186</v>
      </c>
      <c r="F455" s="32" t="s">
        <v>29</v>
      </c>
      <c r="G455" s="38" t="s">
        <v>29</v>
      </c>
      <c r="H455" s="32" t="s">
        <v>115</v>
      </c>
      <c r="I455" s="32" t="s">
        <v>120</v>
      </c>
      <c r="J455" s="32" t="s">
        <v>129</v>
      </c>
      <c r="K455" s="32" t="s">
        <v>129</v>
      </c>
      <c r="L455" s="32" t="s">
        <v>30</v>
      </c>
      <c r="M455" s="32" t="s">
        <v>30</v>
      </c>
      <c r="N455" s="40">
        <v>2007</v>
      </c>
      <c r="O455" s="32">
        <f>VLOOKUP(Data!N448, CPI!$A$2:$B$112, 2, 0)</f>
        <v>229.59399999999999</v>
      </c>
      <c r="P455" s="32" t="s">
        <v>21</v>
      </c>
      <c r="Q455" s="32" t="s">
        <v>239</v>
      </c>
      <c r="R455" s="32" t="s">
        <v>862</v>
      </c>
      <c r="S455" s="32">
        <v>214200000</v>
      </c>
      <c r="T455" s="32" t="s">
        <v>300</v>
      </c>
      <c r="U455" s="32">
        <f t="shared" si="27"/>
        <v>13.616285076952035</v>
      </c>
      <c r="V455" s="32" t="s">
        <v>316</v>
      </c>
      <c r="X455" s="32">
        <f t="shared" si="28"/>
        <v>13.616285076952035</v>
      </c>
      <c r="Y455" s="32">
        <f>(CPI!$B$112/O455)*X455</f>
        <v>18.069137191386737</v>
      </c>
      <c r="Z455" s="38" t="s">
        <v>262</v>
      </c>
      <c r="AA455" s="35" t="s">
        <v>2372</v>
      </c>
      <c r="AB455" s="32">
        <f>139430+8195093+210396+5775804+623438+390549+392982+3471</f>
        <v>15731163</v>
      </c>
      <c r="AC455" s="32" t="s">
        <v>2375</v>
      </c>
      <c r="AH455" s="32" t="s">
        <v>411</v>
      </c>
      <c r="AJ455" s="35" t="s">
        <v>2278</v>
      </c>
      <c r="AK455" s="40" t="s">
        <v>879</v>
      </c>
      <c r="AL455" s="32">
        <v>2015</v>
      </c>
      <c r="AM455" s="32" t="s">
        <v>880</v>
      </c>
      <c r="AN455" s="32" t="s">
        <v>881</v>
      </c>
      <c r="AO455" s="38" t="s">
        <v>882</v>
      </c>
      <c r="AP455" s="35" t="s">
        <v>396</v>
      </c>
    </row>
    <row r="456" spans="1:42" x14ac:dyDescent="0.2">
      <c r="A456" s="40">
        <v>52</v>
      </c>
      <c r="B456" s="40">
        <v>455</v>
      </c>
      <c r="C456" s="40" t="s">
        <v>241</v>
      </c>
      <c r="D456" s="38" t="s">
        <v>241</v>
      </c>
      <c r="E456" s="32" t="s">
        <v>2186</v>
      </c>
      <c r="F456" s="32" t="s">
        <v>29</v>
      </c>
      <c r="G456" s="38" t="s">
        <v>29</v>
      </c>
      <c r="H456" s="32" t="s">
        <v>115</v>
      </c>
      <c r="I456" s="32" t="s">
        <v>120</v>
      </c>
      <c r="J456" s="32" t="s">
        <v>129</v>
      </c>
      <c r="K456" s="32" t="s">
        <v>129</v>
      </c>
      <c r="L456" s="32" t="s">
        <v>30</v>
      </c>
      <c r="M456" s="32" t="s">
        <v>30</v>
      </c>
      <c r="N456" s="40">
        <v>2007</v>
      </c>
      <c r="O456" s="32">
        <f>VLOOKUP(Data!N449, CPI!$A$2:$B$112, 2, 0)</f>
        <v>229.59399999999999</v>
      </c>
      <c r="P456" s="32" t="s">
        <v>21</v>
      </c>
      <c r="Q456" s="32" t="s">
        <v>239</v>
      </c>
      <c r="R456" s="32" t="s">
        <v>863</v>
      </c>
      <c r="S456" s="32">
        <v>2300000</v>
      </c>
      <c r="T456" s="32" t="s">
        <v>300</v>
      </c>
      <c r="U456" s="32">
        <f t="shared" si="27"/>
        <v>31.162355874104083</v>
      </c>
      <c r="V456" s="32" t="s">
        <v>316</v>
      </c>
      <c r="X456" s="32">
        <f t="shared" si="28"/>
        <v>31.162355874104083</v>
      </c>
      <c r="Y456" s="32">
        <f>(CPI!$B$112/O456)*X456</f>
        <v>41.353194378186899</v>
      </c>
      <c r="Z456" s="38" t="s">
        <v>262</v>
      </c>
      <c r="AA456" s="35" t="s">
        <v>2372</v>
      </c>
      <c r="AB456" s="32">
        <f>4619+150+3362+44823+3006+27+17820</f>
        <v>73807</v>
      </c>
      <c r="AC456" s="32" t="s">
        <v>2375</v>
      </c>
      <c r="AH456" s="32" t="s">
        <v>411</v>
      </c>
      <c r="AJ456" s="35" t="s">
        <v>2278</v>
      </c>
      <c r="AK456" s="40" t="s">
        <v>879</v>
      </c>
      <c r="AL456" s="32">
        <v>2015</v>
      </c>
      <c r="AM456" s="32" t="s">
        <v>880</v>
      </c>
      <c r="AN456" s="32" t="s">
        <v>881</v>
      </c>
      <c r="AO456" s="38" t="s">
        <v>882</v>
      </c>
      <c r="AP456" s="35" t="s">
        <v>396</v>
      </c>
    </row>
    <row r="457" spans="1:42" x14ac:dyDescent="0.2">
      <c r="A457" s="40">
        <v>52</v>
      </c>
      <c r="B457" s="40">
        <v>456</v>
      </c>
      <c r="C457" s="40" t="s">
        <v>241</v>
      </c>
      <c r="D457" s="38" t="s">
        <v>241</v>
      </c>
      <c r="E457" s="32" t="s">
        <v>2186</v>
      </c>
      <c r="F457" s="32" t="s">
        <v>29</v>
      </c>
      <c r="G457" s="38" t="s">
        <v>29</v>
      </c>
      <c r="H457" s="32" t="s">
        <v>115</v>
      </c>
      <c r="I457" s="32" t="s">
        <v>120</v>
      </c>
      <c r="J457" s="32" t="s">
        <v>129</v>
      </c>
      <c r="K457" s="32" t="s">
        <v>129</v>
      </c>
      <c r="L457" s="32" t="s">
        <v>30</v>
      </c>
      <c r="M457" s="32" t="s">
        <v>30</v>
      </c>
      <c r="N457" s="40">
        <v>2007</v>
      </c>
      <c r="O457" s="32">
        <f>VLOOKUP(Data!N450, CPI!$A$2:$B$112, 2, 0)</f>
        <v>229.59399999999999</v>
      </c>
      <c r="P457" s="32" t="s">
        <v>21</v>
      </c>
      <c r="Q457" s="32" t="s">
        <v>239</v>
      </c>
      <c r="R457" s="32" t="s">
        <v>864</v>
      </c>
      <c r="S457" s="32">
        <v>187800000</v>
      </c>
      <c r="T457" s="32" t="s">
        <v>300</v>
      </c>
      <c r="U457" s="32">
        <f t="shared" si="27"/>
        <v>14.881465325116039</v>
      </c>
      <c r="V457" s="32" t="s">
        <v>316</v>
      </c>
      <c r="X457" s="32">
        <f t="shared" si="28"/>
        <v>14.881465325116039</v>
      </c>
      <c r="Y457" s="32">
        <f>(CPI!$B$112/O457)*X457</f>
        <v>19.748061754636659</v>
      </c>
      <c r="Z457" s="38" t="s">
        <v>262</v>
      </c>
      <c r="AA457" s="35" t="s">
        <v>2372</v>
      </c>
      <c r="AB457" s="32">
        <f>60908+9384587+61413+2879600+212486+15305+55+5371</f>
        <v>12619725</v>
      </c>
      <c r="AC457" s="32" t="s">
        <v>2375</v>
      </c>
      <c r="AH457" s="32" t="s">
        <v>411</v>
      </c>
      <c r="AJ457" s="35" t="s">
        <v>2278</v>
      </c>
      <c r="AK457" s="40" t="s">
        <v>879</v>
      </c>
      <c r="AL457" s="32">
        <v>2015</v>
      </c>
      <c r="AM457" s="32" t="s">
        <v>880</v>
      </c>
      <c r="AN457" s="32" t="s">
        <v>881</v>
      </c>
      <c r="AO457" s="38" t="s">
        <v>882</v>
      </c>
      <c r="AP457" s="35" t="s">
        <v>396</v>
      </c>
    </row>
    <row r="458" spans="1:42" x14ac:dyDescent="0.2">
      <c r="A458" s="40">
        <v>52</v>
      </c>
      <c r="B458" s="40">
        <v>457</v>
      </c>
      <c r="C458" s="40" t="s">
        <v>241</v>
      </c>
      <c r="D458" s="38" t="s">
        <v>241</v>
      </c>
      <c r="E458" s="32" t="s">
        <v>2186</v>
      </c>
      <c r="F458" s="32" t="s">
        <v>29</v>
      </c>
      <c r="G458" s="38" t="s">
        <v>29</v>
      </c>
      <c r="H458" s="32" t="s">
        <v>115</v>
      </c>
      <c r="I458" s="32" t="s">
        <v>120</v>
      </c>
      <c r="J458" s="32" t="s">
        <v>129</v>
      </c>
      <c r="K458" s="32" t="s">
        <v>129</v>
      </c>
      <c r="L458" s="32" t="s">
        <v>30</v>
      </c>
      <c r="M458" s="32" t="s">
        <v>30</v>
      </c>
      <c r="N458" s="40">
        <v>2007</v>
      </c>
      <c r="O458" s="32">
        <f>VLOOKUP(Data!N451, CPI!$A$2:$B$112, 2, 0)</f>
        <v>229.59399999999999</v>
      </c>
      <c r="P458" s="32" t="s">
        <v>21</v>
      </c>
      <c r="Q458" s="32" t="s">
        <v>239</v>
      </c>
      <c r="R458" s="32" t="s">
        <v>865</v>
      </c>
      <c r="S458" s="32">
        <v>72100000</v>
      </c>
      <c r="T458" s="32" t="s">
        <v>300</v>
      </c>
      <c r="U458" s="32">
        <f t="shared" si="27"/>
        <v>44.604357493099009</v>
      </c>
      <c r="V458" s="32" t="s">
        <v>316</v>
      </c>
      <c r="X458" s="32">
        <f t="shared" si="28"/>
        <v>44.604357493099009</v>
      </c>
      <c r="Y458" s="32">
        <f>(CPI!$B$112/O458)*X458</f>
        <v>59.191053236737702</v>
      </c>
      <c r="Z458" s="38" t="s">
        <v>262</v>
      </c>
      <c r="AA458" s="35" t="s">
        <v>2372</v>
      </c>
      <c r="AB458" s="32">
        <f>51109+27686+477134+506488+194530+11055+346628+1804</f>
        <v>1616434</v>
      </c>
      <c r="AC458" s="32" t="s">
        <v>2375</v>
      </c>
      <c r="AH458" s="32" t="s">
        <v>411</v>
      </c>
      <c r="AJ458" s="35" t="s">
        <v>2278</v>
      </c>
      <c r="AK458" s="40" t="s">
        <v>879</v>
      </c>
      <c r="AL458" s="32">
        <v>2015</v>
      </c>
      <c r="AM458" s="32" t="s">
        <v>880</v>
      </c>
      <c r="AN458" s="32" t="s">
        <v>881</v>
      </c>
      <c r="AO458" s="38" t="s">
        <v>882</v>
      </c>
      <c r="AP458" s="35" t="s">
        <v>396</v>
      </c>
    </row>
    <row r="459" spans="1:42" x14ac:dyDescent="0.2">
      <c r="A459" s="40">
        <v>52</v>
      </c>
      <c r="B459" s="40">
        <v>458</v>
      </c>
      <c r="C459" s="40" t="s">
        <v>241</v>
      </c>
      <c r="D459" s="38" t="s">
        <v>241</v>
      </c>
      <c r="E459" s="32" t="s">
        <v>2186</v>
      </c>
      <c r="F459" s="32" t="s">
        <v>29</v>
      </c>
      <c r="G459" s="38" t="s">
        <v>29</v>
      </c>
      <c r="H459" s="32" t="s">
        <v>115</v>
      </c>
      <c r="I459" s="32" t="s">
        <v>120</v>
      </c>
      <c r="J459" s="32" t="s">
        <v>129</v>
      </c>
      <c r="K459" s="32" t="s">
        <v>129</v>
      </c>
      <c r="L459" s="32" t="s">
        <v>30</v>
      </c>
      <c r="M459" s="32" t="s">
        <v>30</v>
      </c>
      <c r="N459" s="40">
        <v>2007</v>
      </c>
      <c r="O459" s="32">
        <f>VLOOKUP(Data!N452, CPI!$A$2:$B$112, 2, 0)</f>
        <v>229.59399999999999</v>
      </c>
      <c r="P459" s="32" t="s">
        <v>21</v>
      </c>
      <c r="Q459" s="32" t="s">
        <v>239</v>
      </c>
      <c r="R459" s="32" t="s">
        <v>866</v>
      </c>
      <c r="S459" s="32">
        <v>452100000</v>
      </c>
      <c r="T459" s="32" t="s">
        <v>300</v>
      </c>
      <c r="U459" s="32">
        <f t="shared" si="27"/>
        <v>25.723429492455285</v>
      </c>
      <c r="V459" s="32" t="s">
        <v>316</v>
      </c>
      <c r="X459" s="32">
        <f t="shared" si="28"/>
        <v>25.723429492455285</v>
      </c>
      <c r="Y459" s="32">
        <f>(CPI!$B$112/O459)*X459</f>
        <v>34.135608494191601</v>
      </c>
      <c r="Z459" s="38" t="s">
        <v>262</v>
      </c>
      <c r="AA459" s="35" t="s">
        <v>2372</v>
      </c>
      <c r="AB459" s="32">
        <f>892199+4920953+730303+7282204+1752859+1647729+340711+8459</f>
        <v>17575417</v>
      </c>
      <c r="AC459" s="32" t="s">
        <v>2375</v>
      </c>
      <c r="AH459" s="32" t="s">
        <v>411</v>
      </c>
      <c r="AJ459" s="35" t="s">
        <v>2278</v>
      </c>
      <c r="AK459" s="40" t="s">
        <v>879</v>
      </c>
      <c r="AL459" s="32">
        <v>2015</v>
      </c>
      <c r="AM459" s="32" t="s">
        <v>880</v>
      </c>
      <c r="AN459" s="32" t="s">
        <v>881</v>
      </c>
      <c r="AO459" s="38" t="s">
        <v>882</v>
      </c>
      <c r="AP459" s="35" t="s">
        <v>396</v>
      </c>
    </row>
    <row r="460" spans="1:42" x14ac:dyDescent="0.2">
      <c r="A460" s="40">
        <v>52</v>
      </c>
      <c r="B460" s="40">
        <v>459</v>
      </c>
      <c r="C460" s="40" t="s">
        <v>241</v>
      </c>
      <c r="D460" s="38" t="s">
        <v>241</v>
      </c>
      <c r="E460" s="32" t="s">
        <v>2186</v>
      </c>
      <c r="F460" s="32" t="s">
        <v>29</v>
      </c>
      <c r="G460" s="38" t="s">
        <v>29</v>
      </c>
      <c r="H460" s="32" t="s">
        <v>115</v>
      </c>
      <c r="I460" s="32" t="s">
        <v>120</v>
      </c>
      <c r="J460" s="32" t="s">
        <v>129</v>
      </c>
      <c r="K460" s="32" t="s">
        <v>129</v>
      </c>
      <c r="L460" s="32" t="s">
        <v>30</v>
      </c>
      <c r="M460" s="32" t="s">
        <v>30</v>
      </c>
      <c r="N460" s="40">
        <v>2007</v>
      </c>
      <c r="O460" s="32">
        <f>VLOOKUP(Data!N453, CPI!$A$2:$B$112, 2, 0)</f>
        <v>207.3</v>
      </c>
      <c r="P460" s="32" t="s">
        <v>21</v>
      </c>
      <c r="Q460" s="32" t="s">
        <v>239</v>
      </c>
      <c r="R460" s="32" t="s">
        <v>868</v>
      </c>
      <c r="S460" s="32">
        <v>31000000</v>
      </c>
      <c r="T460" s="32" t="s">
        <v>300</v>
      </c>
      <c r="U460" s="32">
        <f t="shared" si="27"/>
        <v>36.824012106784885</v>
      </c>
      <c r="V460" s="32" t="s">
        <v>316</v>
      </c>
      <c r="X460" s="32">
        <f t="shared" si="28"/>
        <v>36.824012106784885</v>
      </c>
      <c r="Y460" s="32">
        <f>(CPI!$B$112/O460)*X460</f>
        <v>54.121661025836339</v>
      </c>
      <c r="Z460" s="38" t="s">
        <v>262</v>
      </c>
      <c r="AA460" s="35" t="s">
        <v>2372</v>
      </c>
      <c r="AB460" s="32">
        <f>63108+19692+374164+131326+239558+260+13392+342</f>
        <v>841842</v>
      </c>
      <c r="AC460" s="32" t="s">
        <v>2375</v>
      </c>
      <c r="AH460" s="32" t="s">
        <v>411</v>
      </c>
      <c r="AJ460" s="35" t="s">
        <v>2278</v>
      </c>
      <c r="AK460" s="40" t="s">
        <v>879</v>
      </c>
      <c r="AL460" s="32">
        <v>2015</v>
      </c>
      <c r="AM460" s="32" t="s">
        <v>880</v>
      </c>
      <c r="AN460" s="32" t="s">
        <v>881</v>
      </c>
      <c r="AO460" s="38" t="s">
        <v>882</v>
      </c>
      <c r="AP460" s="35" t="s">
        <v>396</v>
      </c>
    </row>
    <row r="461" spans="1:42" x14ac:dyDescent="0.2">
      <c r="A461" s="40">
        <v>52</v>
      </c>
      <c r="B461" s="40">
        <v>460</v>
      </c>
      <c r="C461" s="40" t="s">
        <v>241</v>
      </c>
      <c r="D461" s="38" t="s">
        <v>241</v>
      </c>
      <c r="E461" s="32" t="s">
        <v>2186</v>
      </c>
      <c r="F461" s="32" t="s">
        <v>29</v>
      </c>
      <c r="G461" s="38" t="s">
        <v>29</v>
      </c>
      <c r="H461" s="32" t="s">
        <v>115</v>
      </c>
      <c r="I461" s="32" t="s">
        <v>137</v>
      </c>
      <c r="J461" s="32" t="s">
        <v>129</v>
      </c>
      <c r="K461" s="32" t="s">
        <v>129</v>
      </c>
      <c r="L461" s="32" t="s">
        <v>30</v>
      </c>
      <c r="M461" s="32" t="s">
        <v>30</v>
      </c>
      <c r="N461" s="40">
        <v>2007</v>
      </c>
      <c r="O461" s="32">
        <f>VLOOKUP(Data!N454, CPI!$A$2:$B$112, 2, 0)</f>
        <v>207.3</v>
      </c>
      <c r="P461" s="32" t="s">
        <v>21</v>
      </c>
      <c r="Q461" s="32" t="s">
        <v>239</v>
      </c>
      <c r="R461" s="32" t="s">
        <v>867</v>
      </c>
      <c r="S461" s="32">
        <v>1330600000</v>
      </c>
      <c r="T461" s="32" t="s">
        <v>300</v>
      </c>
      <c r="U461" s="32">
        <f t="shared" si="27"/>
        <v>23.461031448925514</v>
      </c>
      <c r="V461" s="32" t="s">
        <v>316</v>
      </c>
      <c r="X461" s="32">
        <f t="shared" si="28"/>
        <v>23.461031448925514</v>
      </c>
      <c r="Y461" s="32">
        <f>(CPI!$B$112/O461)*X461</f>
        <v>34.481576524391784</v>
      </c>
      <c r="Z461" s="38" t="s">
        <v>262</v>
      </c>
      <c r="AA461" s="35" t="s">
        <v>2372</v>
      </c>
      <c r="AB461" s="32">
        <f>163219+25300000+2302625+21900000+3821133+2069873+1112981+45493</f>
        <v>56715324</v>
      </c>
      <c r="AC461" s="32" t="s">
        <v>2375</v>
      </c>
      <c r="AH461" s="32" t="s">
        <v>411</v>
      </c>
      <c r="AJ461" s="35" t="s">
        <v>2278</v>
      </c>
      <c r="AK461" s="40" t="s">
        <v>879</v>
      </c>
      <c r="AL461" s="32">
        <v>2015</v>
      </c>
      <c r="AM461" s="32" t="s">
        <v>880</v>
      </c>
      <c r="AN461" s="32" t="s">
        <v>881</v>
      </c>
      <c r="AO461" s="38" t="s">
        <v>882</v>
      </c>
      <c r="AP461" s="35" t="s">
        <v>396</v>
      </c>
    </row>
    <row r="462" spans="1:42" x14ac:dyDescent="0.2">
      <c r="A462" s="40">
        <v>52</v>
      </c>
      <c r="B462" s="40">
        <v>461</v>
      </c>
      <c r="C462" s="40" t="s">
        <v>241</v>
      </c>
      <c r="D462" s="38" t="s">
        <v>241</v>
      </c>
      <c r="E462" s="32" t="s">
        <v>2186</v>
      </c>
      <c r="F462" s="32" t="s">
        <v>147</v>
      </c>
      <c r="G462" s="38" t="s">
        <v>147</v>
      </c>
      <c r="H462" s="32" t="s">
        <v>115</v>
      </c>
      <c r="I462" s="32" t="s">
        <v>120</v>
      </c>
      <c r="J462" s="32" t="s">
        <v>129</v>
      </c>
      <c r="K462" s="32" t="s">
        <v>129</v>
      </c>
      <c r="L462" s="32" t="s">
        <v>30</v>
      </c>
      <c r="M462" s="32" t="s">
        <v>30</v>
      </c>
      <c r="N462" s="40">
        <v>2009</v>
      </c>
      <c r="O462" s="32">
        <f>VLOOKUP(Data!N455, CPI!$A$2:$B$112, 2, 0)</f>
        <v>207.3</v>
      </c>
      <c r="P462" s="32" t="s">
        <v>134</v>
      </c>
      <c r="Q462" s="32" t="s">
        <v>239</v>
      </c>
      <c r="R462" s="32" t="s">
        <v>869</v>
      </c>
      <c r="S462" s="32">
        <v>4000000000</v>
      </c>
      <c r="T462" s="32" t="s">
        <v>300</v>
      </c>
      <c r="U462" s="32">
        <f t="shared" si="27"/>
        <v>3006.6461914061033</v>
      </c>
      <c r="V462" s="32" t="s">
        <v>316</v>
      </c>
      <c r="X462" s="32">
        <f t="shared" si="28"/>
        <v>3006.6461914061033</v>
      </c>
      <c r="Y462" s="32">
        <f>(CPI!$B$112/O462)*X462</f>
        <v>4418.9830680052564</v>
      </c>
      <c r="Z462" s="38" t="s">
        <v>262</v>
      </c>
      <c r="AA462" s="35" t="s">
        <v>2373</v>
      </c>
      <c r="AB462" s="32">
        <f>289779+22343+64720+623424+327469+68+2583</f>
        <v>1330386</v>
      </c>
      <c r="AC462" s="32" t="s">
        <v>2375</v>
      </c>
      <c r="AH462" s="32" t="s">
        <v>411</v>
      </c>
      <c r="AJ462" s="35" t="s">
        <v>2278</v>
      </c>
      <c r="AK462" s="40" t="s">
        <v>879</v>
      </c>
      <c r="AL462" s="32">
        <v>2015</v>
      </c>
      <c r="AM462" s="32" t="s">
        <v>880</v>
      </c>
      <c r="AN462" s="32" t="s">
        <v>881</v>
      </c>
      <c r="AO462" s="38" t="s">
        <v>882</v>
      </c>
      <c r="AP462" s="35" t="s">
        <v>396</v>
      </c>
    </row>
    <row r="463" spans="1:42" x14ac:dyDescent="0.2">
      <c r="A463" s="40">
        <v>52</v>
      </c>
      <c r="B463" s="40">
        <v>462</v>
      </c>
      <c r="C463" s="40" t="s">
        <v>241</v>
      </c>
      <c r="D463" s="38" t="s">
        <v>241</v>
      </c>
      <c r="E463" s="32" t="s">
        <v>2186</v>
      </c>
      <c r="F463" s="32" t="s">
        <v>147</v>
      </c>
      <c r="G463" s="38" t="s">
        <v>147</v>
      </c>
      <c r="H463" s="32" t="s">
        <v>115</v>
      </c>
      <c r="I463" s="32" t="s">
        <v>120</v>
      </c>
      <c r="J463" s="32" t="s">
        <v>129</v>
      </c>
      <c r="K463" s="32" t="s">
        <v>129</v>
      </c>
      <c r="L463" s="32" t="s">
        <v>30</v>
      </c>
      <c r="M463" s="32" t="s">
        <v>30</v>
      </c>
      <c r="N463" s="40">
        <v>2009</v>
      </c>
      <c r="O463" s="32">
        <f>VLOOKUP(Data!N456, CPI!$A$2:$B$112, 2, 0)</f>
        <v>207.3</v>
      </c>
      <c r="P463" s="32" t="s">
        <v>134</v>
      </c>
      <c r="Q463" s="32" t="s">
        <v>239</v>
      </c>
      <c r="R463" s="32" t="s">
        <v>870</v>
      </c>
      <c r="S463" s="32">
        <v>21000000000</v>
      </c>
      <c r="T463" s="32" t="s">
        <v>300</v>
      </c>
      <c r="U463" s="32">
        <f t="shared" si="27"/>
        <v>2507.6423385555981</v>
      </c>
      <c r="V463" s="32" t="s">
        <v>316</v>
      </c>
      <c r="X463" s="32">
        <f t="shared" si="28"/>
        <v>2507.6423385555981</v>
      </c>
      <c r="Y463" s="32">
        <f>(CPI!$B$112/O463)*X463</f>
        <v>3685.5779926363693</v>
      </c>
      <c r="Z463" s="38" t="s">
        <v>262</v>
      </c>
      <c r="AA463" s="35" t="s">
        <v>2373</v>
      </c>
      <c r="AB463" s="32">
        <f>131067+2686984+381133+4677692+467787+4947+19146+5644</f>
        <v>8374400</v>
      </c>
      <c r="AC463" s="32" t="s">
        <v>2375</v>
      </c>
      <c r="AH463" s="32" t="s">
        <v>411</v>
      </c>
      <c r="AJ463" s="35" t="s">
        <v>2278</v>
      </c>
      <c r="AK463" s="40" t="s">
        <v>879</v>
      </c>
      <c r="AL463" s="32">
        <v>2015</v>
      </c>
      <c r="AM463" s="32" t="s">
        <v>880</v>
      </c>
      <c r="AN463" s="32" t="s">
        <v>881</v>
      </c>
      <c r="AO463" s="38" t="s">
        <v>882</v>
      </c>
      <c r="AP463" s="35" t="s">
        <v>396</v>
      </c>
    </row>
    <row r="464" spans="1:42" x14ac:dyDescent="0.2">
      <c r="A464" s="40">
        <v>52</v>
      </c>
      <c r="B464" s="40">
        <v>463</v>
      </c>
      <c r="C464" s="40" t="s">
        <v>241</v>
      </c>
      <c r="D464" s="38" t="s">
        <v>241</v>
      </c>
      <c r="E464" s="32" t="s">
        <v>2186</v>
      </c>
      <c r="F464" s="32" t="s">
        <v>147</v>
      </c>
      <c r="G464" s="38" t="s">
        <v>147</v>
      </c>
      <c r="H464" s="32" t="s">
        <v>115</v>
      </c>
      <c r="I464" s="32" t="s">
        <v>120</v>
      </c>
      <c r="J464" s="32" t="s">
        <v>129</v>
      </c>
      <c r="K464" s="32" t="s">
        <v>129</v>
      </c>
      <c r="L464" s="32" t="s">
        <v>30</v>
      </c>
      <c r="M464" s="32" t="s">
        <v>30</v>
      </c>
      <c r="N464" s="40">
        <v>2009</v>
      </c>
      <c r="O464" s="32">
        <f>VLOOKUP(Data!N457, CPI!$A$2:$B$112, 2, 0)</f>
        <v>207.3</v>
      </c>
      <c r="P464" s="32" t="s">
        <v>134</v>
      </c>
      <c r="Q464" s="32" t="s">
        <v>239</v>
      </c>
      <c r="R464" s="32" t="s">
        <v>871</v>
      </c>
      <c r="S464" s="32">
        <v>37000000000</v>
      </c>
      <c r="T464" s="32" t="s">
        <v>300</v>
      </c>
      <c r="U464" s="32">
        <f t="shared" si="27"/>
        <v>2352.019364366131</v>
      </c>
      <c r="V464" s="32" t="s">
        <v>316</v>
      </c>
      <c r="X464" s="32">
        <f t="shared" si="28"/>
        <v>2352.019364366131</v>
      </c>
      <c r="Y464" s="32">
        <f>(CPI!$B$112/O464)*X464</f>
        <v>3456.8529468024053</v>
      </c>
      <c r="Z464" s="38" t="s">
        <v>262</v>
      </c>
      <c r="AA464" s="35" t="s">
        <v>2373</v>
      </c>
      <c r="AB464" s="32">
        <f>139430+8195093+210396+5775804+623438+390549+392982+3471</f>
        <v>15731163</v>
      </c>
      <c r="AC464" s="32" t="s">
        <v>2375</v>
      </c>
      <c r="AH464" s="32" t="s">
        <v>411</v>
      </c>
      <c r="AJ464" s="35" t="s">
        <v>2278</v>
      </c>
      <c r="AK464" s="40" t="s">
        <v>879</v>
      </c>
      <c r="AL464" s="32">
        <v>2015</v>
      </c>
      <c r="AM464" s="32" t="s">
        <v>880</v>
      </c>
      <c r="AN464" s="32" t="s">
        <v>881</v>
      </c>
      <c r="AO464" s="38" t="s">
        <v>882</v>
      </c>
      <c r="AP464" s="35" t="s">
        <v>396</v>
      </c>
    </row>
    <row r="465" spans="1:42" x14ac:dyDescent="0.2">
      <c r="A465" s="40">
        <v>52</v>
      </c>
      <c r="B465" s="40">
        <v>464</v>
      </c>
      <c r="C465" s="40" t="s">
        <v>241</v>
      </c>
      <c r="D465" s="38" t="s">
        <v>241</v>
      </c>
      <c r="E465" s="32" t="s">
        <v>2186</v>
      </c>
      <c r="F465" s="32" t="s">
        <v>147</v>
      </c>
      <c r="G465" s="38" t="s">
        <v>147</v>
      </c>
      <c r="H465" s="32" t="s">
        <v>115</v>
      </c>
      <c r="I465" s="32" t="s">
        <v>120</v>
      </c>
      <c r="J465" s="32" t="s">
        <v>129</v>
      </c>
      <c r="K465" s="32" t="s">
        <v>129</v>
      </c>
      <c r="L465" s="32" t="s">
        <v>30</v>
      </c>
      <c r="M465" s="32" t="s">
        <v>30</v>
      </c>
      <c r="N465" s="40">
        <v>2009</v>
      </c>
      <c r="O465" s="32">
        <f>VLOOKUP(Data!N458, CPI!$A$2:$B$112, 2, 0)</f>
        <v>207.3</v>
      </c>
      <c r="P465" s="32" t="s">
        <v>134</v>
      </c>
      <c r="Q465" s="32" t="s">
        <v>239</v>
      </c>
      <c r="R465" s="32" t="s">
        <v>873</v>
      </c>
      <c r="S465" s="32">
        <v>26000000000</v>
      </c>
      <c r="T465" s="32" t="s">
        <v>300</v>
      </c>
      <c r="U465" s="32">
        <f t="shared" si="27"/>
        <v>2060.2667649255432</v>
      </c>
      <c r="V465" s="32" t="s">
        <v>316</v>
      </c>
      <c r="X465" s="32">
        <f t="shared" si="28"/>
        <v>2060.2667649255432</v>
      </c>
      <c r="Y465" s="32">
        <f>(CPI!$B$112/O465)*X465</f>
        <v>3028.0529767029839</v>
      </c>
      <c r="Z465" s="38" t="s">
        <v>262</v>
      </c>
      <c r="AA465" s="35" t="s">
        <v>2373</v>
      </c>
      <c r="AB465" s="32">
        <f>60908+9384587+61413+2879600+212486+15305+55+5371</f>
        <v>12619725</v>
      </c>
      <c r="AC465" s="32" t="s">
        <v>2375</v>
      </c>
      <c r="AH465" s="32" t="s">
        <v>411</v>
      </c>
      <c r="AJ465" s="35" t="s">
        <v>2278</v>
      </c>
      <c r="AK465" s="40" t="s">
        <v>879</v>
      </c>
      <c r="AL465" s="32">
        <v>2015</v>
      </c>
      <c r="AM465" s="32" t="s">
        <v>880</v>
      </c>
      <c r="AN465" s="32" t="s">
        <v>881</v>
      </c>
      <c r="AO465" s="38" t="s">
        <v>882</v>
      </c>
      <c r="AP465" s="35" t="s">
        <v>396</v>
      </c>
    </row>
    <row r="466" spans="1:42" x14ac:dyDescent="0.2">
      <c r="A466" s="40">
        <v>52</v>
      </c>
      <c r="B466" s="40">
        <v>465</v>
      </c>
      <c r="C466" s="40" t="s">
        <v>241</v>
      </c>
      <c r="D466" s="38" t="s">
        <v>241</v>
      </c>
      <c r="E466" s="32" t="s">
        <v>2186</v>
      </c>
      <c r="F466" s="32" t="s">
        <v>147</v>
      </c>
      <c r="G466" s="38" t="s">
        <v>147</v>
      </c>
      <c r="H466" s="32" t="s">
        <v>115</v>
      </c>
      <c r="I466" s="32" t="s">
        <v>120</v>
      </c>
      <c r="J466" s="32" t="s">
        <v>129</v>
      </c>
      <c r="K466" s="32" t="s">
        <v>129</v>
      </c>
      <c r="L466" s="32" t="s">
        <v>30</v>
      </c>
      <c r="M466" s="32" t="s">
        <v>30</v>
      </c>
      <c r="N466" s="40">
        <v>2009</v>
      </c>
      <c r="O466" s="32">
        <f>VLOOKUP(Data!N459, CPI!$A$2:$B$112, 2, 0)</f>
        <v>207.3</v>
      </c>
      <c r="P466" s="32" t="s">
        <v>134</v>
      </c>
      <c r="Q466" s="32" t="s">
        <v>239</v>
      </c>
      <c r="R466" s="32" t="s">
        <v>874</v>
      </c>
      <c r="S466" s="32">
        <v>5000000000</v>
      </c>
      <c r="T466" s="32" t="s">
        <v>300</v>
      </c>
      <c r="U466" s="32">
        <f t="shared" si="27"/>
        <v>3093.228674972192</v>
      </c>
      <c r="V466" s="32" t="s">
        <v>316</v>
      </c>
      <c r="X466" s="32">
        <f t="shared" si="28"/>
        <v>3093.228674972192</v>
      </c>
      <c r="Y466" s="32">
        <f>(CPI!$B$112/O466)*X466</f>
        <v>4546.2366603827013</v>
      </c>
      <c r="Z466" s="38" t="s">
        <v>262</v>
      </c>
      <c r="AA466" s="35" t="s">
        <v>2373</v>
      </c>
      <c r="AB466" s="32">
        <f>51109+27686+477134+506488+194530+11055+346628+1804</f>
        <v>1616434</v>
      </c>
      <c r="AC466" s="32" t="s">
        <v>2375</v>
      </c>
      <c r="AH466" s="32" t="s">
        <v>411</v>
      </c>
      <c r="AJ466" s="35" t="s">
        <v>2278</v>
      </c>
      <c r="AK466" s="40" t="s">
        <v>879</v>
      </c>
      <c r="AL466" s="32">
        <v>2015</v>
      </c>
      <c r="AM466" s="32" t="s">
        <v>880</v>
      </c>
      <c r="AN466" s="32" t="s">
        <v>881</v>
      </c>
      <c r="AO466" s="38" t="s">
        <v>882</v>
      </c>
      <c r="AP466" s="35" t="s">
        <v>396</v>
      </c>
    </row>
    <row r="467" spans="1:42" x14ac:dyDescent="0.2">
      <c r="A467" s="40">
        <v>52</v>
      </c>
      <c r="B467" s="40">
        <v>466</v>
      </c>
      <c r="C467" s="40" t="s">
        <v>241</v>
      </c>
      <c r="D467" s="38" t="s">
        <v>241</v>
      </c>
      <c r="E467" s="32" t="s">
        <v>2186</v>
      </c>
      <c r="F467" s="32" t="s">
        <v>147</v>
      </c>
      <c r="G467" s="38" t="s">
        <v>147</v>
      </c>
      <c r="H467" s="32" t="s">
        <v>115</v>
      </c>
      <c r="I467" s="32" t="s">
        <v>120</v>
      </c>
      <c r="J467" s="32" t="s">
        <v>129</v>
      </c>
      <c r="K467" s="32" t="s">
        <v>129</v>
      </c>
      <c r="L467" s="32" t="s">
        <v>30</v>
      </c>
      <c r="M467" s="32" t="s">
        <v>30</v>
      </c>
      <c r="N467" s="40">
        <v>2009</v>
      </c>
      <c r="O467" s="32">
        <f>VLOOKUP(Data!N460, CPI!$A$2:$B$112, 2, 0)</f>
        <v>207.3</v>
      </c>
      <c r="P467" s="32" t="s">
        <v>134</v>
      </c>
      <c r="Q467" s="32" t="s">
        <v>239</v>
      </c>
      <c r="R467" s="32" t="s">
        <v>875</v>
      </c>
      <c r="S467" s="32">
        <v>42000000000</v>
      </c>
      <c r="T467" s="32" t="s">
        <v>300</v>
      </c>
      <c r="U467" s="32">
        <f t="shared" si="27"/>
        <v>2389.7014790602125</v>
      </c>
      <c r="V467" s="32" t="s">
        <v>316</v>
      </c>
      <c r="X467" s="32">
        <f t="shared" si="28"/>
        <v>2389.7014790602125</v>
      </c>
      <c r="Y467" s="32">
        <f>(CPI!$B$112/O467)*X467</f>
        <v>3512.235794067818</v>
      </c>
      <c r="Z467" s="38" t="s">
        <v>262</v>
      </c>
      <c r="AA467" s="35" t="s">
        <v>2373</v>
      </c>
      <c r="AB467" s="32">
        <f>892199+4920953+730303+7282204+1752859+1647729+340711+8459</f>
        <v>17575417</v>
      </c>
      <c r="AC467" s="32" t="s">
        <v>2375</v>
      </c>
      <c r="AH467" s="32" t="s">
        <v>411</v>
      </c>
      <c r="AJ467" s="35" t="s">
        <v>2278</v>
      </c>
      <c r="AK467" s="40" t="s">
        <v>879</v>
      </c>
      <c r="AL467" s="32">
        <v>2015</v>
      </c>
      <c r="AM467" s="32" t="s">
        <v>880</v>
      </c>
      <c r="AN467" s="32" t="s">
        <v>881</v>
      </c>
      <c r="AO467" s="38" t="s">
        <v>882</v>
      </c>
      <c r="AP467" s="35" t="s">
        <v>396</v>
      </c>
    </row>
    <row r="468" spans="1:42" x14ac:dyDescent="0.2">
      <c r="A468" s="40">
        <v>52</v>
      </c>
      <c r="B468" s="40">
        <v>467</v>
      </c>
      <c r="C468" s="40" t="s">
        <v>241</v>
      </c>
      <c r="D468" s="38" t="s">
        <v>241</v>
      </c>
      <c r="E468" s="32" t="s">
        <v>2186</v>
      </c>
      <c r="F468" s="32" t="s">
        <v>147</v>
      </c>
      <c r="G468" s="38" t="s">
        <v>147</v>
      </c>
      <c r="H468" s="32" t="s">
        <v>115</v>
      </c>
      <c r="I468" s="32" t="s">
        <v>120</v>
      </c>
      <c r="J468" s="32" t="s">
        <v>129</v>
      </c>
      <c r="K468" s="32" t="s">
        <v>129</v>
      </c>
      <c r="L468" s="32" t="s">
        <v>30</v>
      </c>
      <c r="M468" s="32" t="s">
        <v>30</v>
      </c>
      <c r="N468" s="40">
        <v>2009</v>
      </c>
      <c r="O468" s="32">
        <f>VLOOKUP(Data!N461, CPI!$A$2:$B$112, 2, 0)</f>
        <v>207.3</v>
      </c>
      <c r="P468" s="32" t="s">
        <v>134</v>
      </c>
      <c r="Q468" s="32" t="s">
        <v>239</v>
      </c>
      <c r="R468" s="32" t="s">
        <v>876</v>
      </c>
      <c r="S468" s="32">
        <v>2000000000</v>
      </c>
      <c r="T468" s="32" t="s">
        <v>300</v>
      </c>
      <c r="U468" s="32">
        <f t="shared" si="27"/>
        <v>2375.7427165667668</v>
      </c>
      <c r="V468" s="32" t="s">
        <v>316</v>
      </c>
      <c r="X468" s="32">
        <f t="shared" si="28"/>
        <v>2375.7427165667668</v>
      </c>
      <c r="Y468" s="32">
        <f>(CPI!$B$112/O468)*X468</f>
        <v>3491.7200661829897</v>
      </c>
      <c r="Z468" s="38" t="s">
        <v>262</v>
      </c>
      <c r="AA468" s="35" t="s">
        <v>2373</v>
      </c>
      <c r="AB468" s="32">
        <f>63108+19692+374164+131326+239558+260+13392+342</f>
        <v>841842</v>
      </c>
      <c r="AC468" s="32" t="s">
        <v>2375</v>
      </c>
      <c r="AH468" s="32" t="s">
        <v>411</v>
      </c>
      <c r="AJ468" s="35" t="s">
        <v>2278</v>
      </c>
      <c r="AK468" s="40" t="s">
        <v>879</v>
      </c>
      <c r="AL468" s="32">
        <v>2015</v>
      </c>
      <c r="AM468" s="32" t="s">
        <v>880</v>
      </c>
      <c r="AN468" s="32" t="s">
        <v>881</v>
      </c>
      <c r="AO468" s="38" t="s">
        <v>882</v>
      </c>
      <c r="AP468" s="35" t="s">
        <v>396</v>
      </c>
    </row>
    <row r="469" spans="1:42" x14ac:dyDescent="0.2">
      <c r="A469" s="40">
        <v>52</v>
      </c>
      <c r="B469" s="40">
        <v>468</v>
      </c>
      <c r="C469" s="40" t="s">
        <v>241</v>
      </c>
      <c r="D469" s="38" t="s">
        <v>241</v>
      </c>
      <c r="E469" s="32" t="s">
        <v>2186</v>
      </c>
      <c r="F469" s="32" t="s">
        <v>147</v>
      </c>
      <c r="G469" s="38" t="s">
        <v>147</v>
      </c>
      <c r="H469" s="32" t="s">
        <v>115</v>
      </c>
      <c r="I469" s="32" t="s">
        <v>137</v>
      </c>
      <c r="J469" s="32" t="s">
        <v>129</v>
      </c>
      <c r="K469" s="32" t="s">
        <v>129</v>
      </c>
      <c r="L469" s="32" t="s">
        <v>30</v>
      </c>
      <c r="M469" s="32" t="s">
        <v>30</v>
      </c>
      <c r="N469" s="40">
        <v>2009</v>
      </c>
      <c r="O469" s="32">
        <f>VLOOKUP(Data!N462, CPI!$A$2:$B$112, 2, 0)</f>
        <v>214.53700000000001</v>
      </c>
      <c r="P469" s="32" t="s">
        <v>134</v>
      </c>
      <c r="Q469" s="32" t="s">
        <v>239</v>
      </c>
      <c r="R469" s="32" t="s">
        <v>877</v>
      </c>
      <c r="S469" s="32">
        <v>137000000000</v>
      </c>
      <c r="T469" s="32" t="s">
        <v>300</v>
      </c>
      <c r="U469" s="32">
        <f t="shared" si="27"/>
        <v>2415.5729058340562</v>
      </c>
      <c r="V469" s="32" t="s">
        <v>316</v>
      </c>
      <c r="X469" s="32">
        <f t="shared" si="28"/>
        <v>2415.5729058340562</v>
      </c>
      <c r="Y469" s="32">
        <f>(CPI!$B$112/O469)*X469</f>
        <v>3430.4987127515365</v>
      </c>
      <c r="Z469" s="38" t="s">
        <v>262</v>
      </c>
      <c r="AA469" s="35" t="s">
        <v>2373</v>
      </c>
      <c r="AB469" s="32">
        <f>163219+25300000+2302625+21900000+3821133+2069873+1112981+45493</f>
        <v>56715324</v>
      </c>
      <c r="AC469" s="32" t="s">
        <v>2375</v>
      </c>
      <c r="AH469" s="32" t="s">
        <v>411</v>
      </c>
      <c r="AJ469" s="35" t="s">
        <v>2278</v>
      </c>
      <c r="AK469" s="40" t="s">
        <v>879</v>
      </c>
      <c r="AL469" s="32">
        <v>2015</v>
      </c>
      <c r="AM469" s="32" t="s">
        <v>880</v>
      </c>
      <c r="AN469" s="32" t="s">
        <v>881</v>
      </c>
      <c r="AO469" s="38" t="s">
        <v>882</v>
      </c>
      <c r="AP469" s="35" t="s">
        <v>396</v>
      </c>
    </row>
    <row r="470" spans="1:42" x14ac:dyDescent="0.2">
      <c r="A470" s="40">
        <v>52</v>
      </c>
      <c r="B470" s="40">
        <v>469</v>
      </c>
      <c r="C470" s="40" t="s">
        <v>241</v>
      </c>
      <c r="D470" s="38" t="s">
        <v>241</v>
      </c>
      <c r="E470" s="32" t="s">
        <v>2186</v>
      </c>
      <c r="F470" s="32" t="s">
        <v>29</v>
      </c>
      <c r="G470" s="38" t="s">
        <v>29</v>
      </c>
      <c r="H470" s="32" t="s">
        <v>115</v>
      </c>
      <c r="I470" s="32" t="s">
        <v>137</v>
      </c>
      <c r="J470" s="32" t="s">
        <v>129</v>
      </c>
      <c r="K470" s="32" t="s">
        <v>129</v>
      </c>
      <c r="L470" s="32" t="s">
        <v>30</v>
      </c>
      <c r="M470" s="32" t="s">
        <v>30</v>
      </c>
      <c r="N470" s="40">
        <v>2007</v>
      </c>
      <c r="O470" s="32">
        <f>VLOOKUP(Data!N463, CPI!$A$2:$B$112, 2, 0)</f>
        <v>214.53700000000001</v>
      </c>
      <c r="P470" s="32" t="s">
        <v>21</v>
      </c>
      <c r="Q470" s="32" t="s">
        <v>239</v>
      </c>
      <c r="R470" s="32" t="s">
        <v>878</v>
      </c>
      <c r="S470" s="32">
        <v>116.7</v>
      </c>
      <c r="T470" s="32" t="s">
        <v>316</v>
      </c>
      <c r="U470" s="32">
        <v>116.7</v>
      </c>
      <c r="V470" s="32" t="s">
        <v>316</v>
      </c>
      <c r="X470" s="32">
        <f t="shared" si="28"/>
        <v>116.7</v>
      </c>
      <c r="Y470" s="32">
        <f>(CPI!$B$112/O470)*X470</f>
        <v>165.7326089439118</v>
      </c>
      <c r="Z470" s="38" t="s">
        <v>262</v>
      </c>
      <c r="AA470" s="35" t="s">
        <v>2374</v>
      </c>
      <c r="AB470" s="32">
        <f>163219+25300000+2302625+21900000+3821133+2069873+1112981+45493</f>
        <v>56715324</v>
      </c>
      <c r="AC470" s="32" t="s">
        <v>2375</v>
      </c>
      <c r="AH470" s="32" t="s">
        <v>411</v>
      </c>
      <c r="AJ470" s="35" t="s">
        <v>2278</v>
      </c>
      <c r="AK470" s="40" t="s">
        <v>879</v>
      </c>
      <c r="AL470" s="32">
        <v>2015</v>
      </c>
      <c r="AM470" s="32" t="s">
        <v>880</v>
      </c>
      <c r="AN470" s="32" t="s">
        <v>881</v>
      </c>
      <c r="AO470" s="38" t="s">
        <v>882</v>
      </c>
      <c r="AP470" s="35" t="s">
        <v>396</v>
      </c>
    </row>
    <row r="471" spans="1:42" x14ac:dyDescent="0.2">
      <c r="A471" s="40">
        <v>52</v>
      </c>
      <c r="B471" s="40">
        <v>470</v>
      </c>
      <c r="C471" s="40" t="s">
        <v>241</v>
      </c>
      <c r="D471" s="38" t="s">
        <v>241</v>
      </c>
      <c r="E471" s="32" t="s">
        <v>2186</v>
      </c>
      <c r="F471" s="32" t="s">
        <v>147</v>
      </c>
      <c r="G471" s="38" t="s">
        <v>147</v>
      </c>
      <c r="H471" s="32" t="s">
        <v>115</v>
      </c>
      <c r="I471" s="32" t="s">
        <v>120</v>
      </c>
      <c r="J471" s="32" t="s">
        <v>129</v>
      </c>
      <c r="K471" s="32" t="s">
        <v>129</v>
      </c>
      <c r="L471" s="32" t="s">
        <v>30</v>
      </c>
      <c r="M471" s="32" t="s">
        <v>30</v>
      </c>
      <c r="N471" s="40">
        <v>2009</v>
      </c>
      <c r="O471" s="32">
        <f>VLOOKUP(Data!N1396, CPI!$A$2:$B$112, 2, 0)</f>
        <v>207.3</v>
      </c>
      <c r="P471" s="32" t="s">
        <v>134</v>
      </c>
      <c r="Q471" s="32" t="s">
        <v>239</v>
      </c>
      <c r="R471" s="32" t="s">
        <v>872</v>
      </c>
      <c r="S471" s="32">
        <v>0</v>
      </c>
      <c r="T471" s="32" t="s">
        <v>300</v>
      </c>
      <c r="Z471" s="38" t="s">
        <v>262</v>
      </c>
      <c r="AA471" s="35" t="s">
        <v>2373</v>
      </c>
      <c r="AB471" s="32">
        <f>4619+150+3362+44823+3006+27+17820</f>
        <v>73807</v>
      </c>
      <c r="AC471" s="32" t="s">
        <v>2375</v>
      </c>
      <c r="AH471" s="32" t="s">
        <v>411</v>
      </c>
      <c r="AJ471" s="35" t="s">
        <v>2278</v>
      </c>
      <c r="AK471" s="40" t="s">
        <v>879</v>
      </c>
      <c r="AL471" s="32">
        <v>2015</v>
      </c>
      <c r="AM471" s="32" t="s">
        <v>880</v>
      </c>
      <c r="AN471" s="32" t="s">
        <v>881</v>
      </c>
      <c r="AO471" s="38" t="s">
        <v>882</v>
      </c>
      <c r="AP471" s="35" t="s">
        <v>396</v>
      </c>
    </row>
    <row r="472" spans="1:42" x14ac:dyDescent="0.2">
      <c r="A472" s="40">
        <v>53</v>
      </c>
      <c r="B472" s="40">
        <v>471</v>
      </c>
      <c r="C472" s="40" t="s">
        <v>249</v>
      </c>
      <c r="D472" s="38" t="s">
        <v>216</v>
      </c>
      <c r="E472" s="32" t="s">
        <v>2186</v>
      </c>
      <c r="F472" s="32" t="s">
        <v>21</v>
      </c>
      <c r="G472" s="38" t="s">
        <v>163</v>
      </c>
      <c r="H472" s="32" t="s">
        <v>151</v>
      </c>
      <c r="I472" s="32" t="s">
        <v>243</v>
      </c>
      <c r="J472" s="32" t="s">
        <v>883</v>
      </c>
      <c r="K472" s="32" t="s">
        <v>129</v>
      </c>
      <c r="L472" s="32" t="s">
        <v>885</v>
      </c>
      <c r="M472" s="32" t="s">
        <v>884</v>
      </c>
      <c r="N472" s="40">
        <v>2010</v>
      </c>
      <c r="O472" s="32">
        <f>VLOOKUP(Data!N464, CPI!$A$2:$B$112, 2, 0)</f>
        <v>214.53700000000001</v>
      </c>
      <c r="P472" s="32" t="s">
        <v>238</v>
      </c>
      <c r="Q472" s="32" t="s">
        <v>239</v>
      </c>
      <c r="R472" s="32" t="s">
        <v>886</v>
      </c>
      <c r="S472" s="32">
        <v>736</v>
      </c>
      <c r="T472" s="32" t="s">
        <v>2376</v>
      </c>
      <c r="U472" s="32">
        <f t="shared" ref="U472:U504" si="29">S472/5/AB472</f>
        <v>4.5153374233128831</v>
      </c>
      <c r="V472" s="32" t="s">
        <v>316</v>
      </c>
      <c r="X472" s="32">
        <f t="shared" ref="X472:X504" si="30">U472</f>
        <v>4.5153374233128831</v>
      </c>
      <c r="Y472" s="32">
        <f>(CPI!$B$112/O472)*X472</f>
        <v>6.4124991553361124</v>
      </c>
      <c r="Z472" s="38" t="s">
        <v>262</v>
      </c>
      <c r="AA472" s="35" t="s">
        <v>2381</v>
      </c>
      <c r="AB472" s="32">
        <v>32.6</v>
      </c>
      <c r="AC472" s="35" t="s">
        <v>2381</v>
      </c>
      <c r="AH472" s="32" t="s">
        <v>411</v>
      </c>
      <c r="AJ472" s="36" t="s">
        <v>2382</v>
      </c>
      <c r="AK472" s="40" t="s">
        <v>915</v>
      </c>
      <c r="AL472" s="32">
        <v>2016</v>
      </c>
      <c r="AM472" s="32" t="s">
        <v>916</v>
      </c>
      <c r="AN472" s="32" t="s">
        <v>917</v>
      </c>
      <c r="AO472" s="38" t="s">
        <v>918</v>
      </c>
      <c r="AP472" s="35" t="s">
        <v>396</v>
      </c>
    </row>
    <row r="473" spans="1:42" x14ac:dyDescent="0.2">
      <c r="A473" s="40">
        <v>53</v>
      </c>
      <c r="B473" s="40">
        <v>472</v>
      </c>
      <c r="C473" s="40" t="s">
        <v>249</v>
      </c>
      <c r="D473" s="38" t="s">
        <v>216</v>
      </c>
      <c r="E473" s="32" t="s">
        <v>2183</v>
      </c>
      <c r="F473" s="32" t="s">
        <v>126</v>
      </c>
      <c r="G473" s="38" t="s">
        <v>127</v>
      </c>
      <c r="H473" s="32" t="s">
        <v>151</v>
      </c>
      <c r="I473" s="32" t="s">
        <v>243</v>
      </c>
      <c r="J473" s="32" t="s">
        <v>883</v>
      </c>
      <c r="K473" s="32" t="s">
        <v>129</v>
      </c>
      <c r="L473" s="32" t="s">
        <v>885</v>
      </c>
      <c r="M473" s="32" t="s">
        <v>884</v>
      </c>
      <c r="N473" s="40">
        <v>2010</v>
      </c>
      <c r="O473" s="32">
        <f>VLOOKUP(Data!N465, CPI!$A$2:$B$112, 2, 0)</f>
        <v>214.53700000000001</v>
      </c>
      <c r="P473" s="32" t="s">
        <v>238</v>
      </c>
      <c r="Q473" s="32" t="s">
        <v>239</v>
      </c>
      <c r="R473" s="32" t="s">
        <v>887</v>
      </c>
      <c r="S473" s="32">
        <v>87.1</v>
      </c>
      <c r="T473" s="32" t="s">
        <v>2376</v>
      </c>
      <c r="U473" s="32">
        <f t="shared" si="29"/>
        <v>0.53435582822085881</v>
      </c>
      <c r="V473" s="32" t="s">
        <v>316</v>
      </c>
      <c r="X473" s="32">
        <f t="shared" si="30"/>
        <v>0.53435582822085881</v>
      </c>
      <c r="Y473" s="32">
        <f>(CPI!$B$112/O473)*X473</f>
        <v>0.75887048427958614</v>
      </c>
      <c r="Z473" s="38" t="s">
        <v>262</v>
      </c>
      <c r="AA473" s="35" t="s">
        <v>2381</v>
      </c>
      <c r="AB473" s="32">
        <v>32.6</v>
      </c>
      <c r="AC473" s="35" t="s">
        <v>2381</v>
      </c>
      <c r="AH473" s="32" t="s">
        <v>411</v>
      </c>
      <c r="AK473" s="40" t="s">
        <v>915</v>
      </c>
      <c r="AL473" s="32">
        <v>2016</v>
      </c>
      <c r="AM473" s="32" t="s">
        <v>916</v>
      </c>
      <c r="AN473" s="32" t="s">
        <v>917</v>
      </c>
      <c r="AO473" s="38" t="s">
        <v>918</v>
      </c>
      <c r="AP473" s="35" t="s">
        <v>396</v>
      </c>
    </row>
    <row r="474" spans="1:42" x14ac:dyDescent="0.2">
      <c r="A474" s="40">
        <v>53</v>
      </c>
      <c r="B474" s="40">
        <v>473</v>
      </c>
      <c r="C474" s="40" t="s">
        <v>249</v>
      </c>
      <c r="D474" s="38" t="s">
        <v>216</v>
      </c>
      <c r="E474" s="32" t="s">
        <v>2183</v>
      </c>
      <c r="F474" s="32" t="s">
        <v>126</v>
      </c>
      <c r="G474" s="38" t="s">
        <v>60</v>
      </c>
      <c r="H474" s="32" t="s">
        <v>151</v>
      </c>
      <c r="I474" s="32" t="s">
        <v>243</v>
      </c>
      <c r="J474" s="32" t="s">
        <v>883</v>
      </c>
      <c r="K474" s="32" t="s">
        <v>129</v>
      </c>
      <c r="L474" s="32" t="s">
        <v>885</v>
      </c>
      <c r="M474" s="32" t="s">
        <v>884</v>
      </c>
      <c r="N474" s="40">
        <v>2010</v>
      </c>
      <c r="O474" s="32">
        <f>VLOOKUP(Data!N466, CPI!$A$2:$B$112, 2, 0)</f>
        <v>214.53700000000001</v>
      </c>
      <c r="P474" s="32" t="s">
        <v>238</v>
      </c>
      <c r="Q474" s="32" t="s">
        <v>239</v>
      </c>
      <c r="R474" s="32" t="s">
        <v>888</v>
      </c>
      <c r="S474" s="32">
        <v>1.7</v>
      </c>
      <c r="T474" s="32" t="s">
        <v>2376</v>
      </c>
      <c r="U474" s="32">
        <f t="shared" si="29"/>
        <v>1.0429447852760735E-2</v>
      </c>
      <c r="V474" s="32" t="s">
        <v>316</v>
      </c>
      <c r="X474" s="32">
        <f t="shared" si="30"/>
        <v>1.0429447852760735E-2</v>
      </c>
      <c r="Y474" s="32">
        <f>(CPI!$B$112/O474)*X474</f>
        <v>1.4811479027270912E-2</v>
      </c>
      <c r="Z474" s="38" t="s">
        <v>262</v>
      </c>
      <c r="AA474" s="35" t="s">
        <v>2381</v>
      </c>
      <c r="AB474" s="32">
        <v>32.6</v>
      </c>
      <c r="AC474" s="35" t="s">
        <v>2381</v>
      </c>
      <c r="AH474" s="32" t="s">
        <v>411</v>
      </c>
      <c r="AK474" s="40" t="s">
        <v>915</v>
      </c>
      <c r="AL474" s="32">
        <v>2016</v>
      </c>
      <c r="AM474" s="32" t="s">
        <v>916</v>
      </c>
      <c r="AN474" s="32" t="s">
        <v>917</v>
      </c>
      <c r="AO474" s="38" t="s">
        <v>918</v>
      </c>
      <c r="AP474" s="35" t="s">
        <v>396</v>
      </c>
    </row>
    <row r="475" spans="1:42" x14ac:dyDescent="0.2">
      <c r="A475" s="40">
        <v>53</v>
      </c>
      <c r="B475" s="40">
        <v>474</v>
      </c>
      <c r="C475" s="40" t="s">
        <v>249</v>
      </c>
      <c r="D475" s="38" t="s">
        <v>216</v>
      </c>
      <c r="E475" s="32" t="s">
        <v>2186</v>
      </c>
      <c r="F475" s="32" t="s">
        <v>21</v>
      </c>
      <c r="G475" s="38" t="s">
        <v>163</v>
      </c>
      <c r="H475" s="32" t="s">
        <v>151</v>
      </c>
      <c r="I475" s="32" t="s">
        <v>243</v>
      </c>
      <c r="J475" s="32" t="s">
        <v>883</v>
      </c>
      <c r="K475" s="32" t="s">
        <v>129</v>
      </c>
      <c r="L475" s="32" t="s">
        <v>885</v>
      </c>
      <c r="M475" s="32" t="s">
        <v>884</v>
      </c>
      <c r="N475" s="40">
        <v>2010</v>
      </c>
      <c r="O475" s="32">
        <f>VLOOKUP(Data!N467, CPI!$A$2:$B$112, 2, 0)</f>
        <v>214.53700000000001</v>
      </c>
      <c r="P475" s="32" t="s">
        <v>238</v>
      </c>
      <c r="Q475" s="32" t="s">
        <v>239</v>
      </c>
      <c r="R475" s="32" t="s">
        <v>889</v>
      </c>
      <c r="S475" s="32">
        <v>5.9</v>
      </c>
      <c r="T475" s="32" t="s">
        <v>2376</v>
      </c>
      <c r="U475" s="32">
        <f t="shared" si="29"/>
        <v>3.6196319018404914E-2</v>
      </c>
      <c r="V475" s="32" t="s">
        <v>316</v>
      </c>
      <c r="X475" s="32">
        <f t="shared" si="30"/>
        <v>3.6196319018404914E-2</v>
      </c>
      <c r="Y475" s="32">
        <f>(CPI!$B$112/O475)*X475</f>
        <v>5.1404544859352003E-2</v>
      </c>
      <c r="Z475" s="38" t="s">
        <v>262</v>
      </c>
      <c r="AA475" s="35" t="s">
        <v>2381</v>
      </c>
      <c r="AB475" s="32">
        <v>32.6</v>
      </c>
      <c r="AC475" s="35" t="s">
        <v>2381</v>
      </c>
      <c r="AH475" s="32" t="s">
        <v>411</v>
      </c>
      <c r="AK475" s="40" t="s">
        <v>915</v>
      </c>
      <c r="AL475" s="32">
        <v>2016</v>
      </c>
      <c r="AM475" s="32" t="s">
        <v>916</v>
      </c>
      <c r="AN475" s="32" t="s">
        <v>917</v>
      </c>
      <c r="AO475" s="38" t="s">
        <v>918</v>
      </c>
      <c r="AP475" s="35" t="s">
        <v>396</v>
      </c>
    </row>
    <row r="476" spans="1:42" x14ac:dyDescent="0.2">
      <c r="A476" s="40">
        <v>53</v>
      </c>
      <c r="B476" s="40">
        <v>475</v>
      </c>
      <c r="C476" s="40" t="s">
        <v>249</v>
      </c>
      <c r="D476" s="38" t="s">
        <v>216</v>
      </c>
      <c r="E476" s="32" t="s">
        <v>2186</v>
      </c>
      <c r="F476" s="32" t="s">
        <v>21</v>
      </c>
      <c r="G476" s="38" t="s">
        <v>163</v>
      </c>
      <c r="H476" s="32" t="s">
        <v>151</v>
      </c>
      <c r="I476" s="32" t="s">
        <v>243</v>
      </c>
      <c r="J476" s="32" t="s">
        <v>883</v>
      </c>
      <c r="K476" s="32" t="s">
        <v>129</v>
      </c>
      <c r="L476" s="32" t="s">
        <v>885</v>
      </c>
      <c r="M476" s="32" t="s">
        <v>884</v>
      </c>
      <c r="N476" s="40">
        <v>2010</v>
      </c>
      <c r="O476" s="32">
        <f>VLOOKUP(Data!N468, CPI!$A$2:$B$112, 2, 0)</f>
        <v>214.53700000000001</v>
      </c>
      <c r="P476" s="32" t="s">
        <v>238</v>
      </c>
      <c r="Q476" s="32" t="s">
        <v>239</v>
      </c>
      <c r="R476" s="32" t="s">
        <v>890</v>
      </c>
      <c r="S476" s="32">
        <v>0.1</v>
      </c>
      <c r="T476" s="32" t="s">
        <v>2376</v>
      </c>
      <c r="U476" s="32">
        <f t="shared" si="29"/>
        <v>6.1349693251533746E-4</v>
      </c>
      <c r="V476" s="32" t="s">
        <v>316</v>
      </c>
      <c r="X476" s="32">
        <f t="shared" si="30"/>
        <v>6.1349693251533746E-4</v>
      </c>
      <c r="Y476" s="32">
        <f>(CPI!$B$112/O476)*X476</f>
        <v>8.7126347219240675E-4</v>
      </c>
      <c r="Z476" s="38" t="s">
        <v>262</v>
      </c>
      <c r="AA476" s="35" t="s">
        <v>2381</v>
      </c>
      <c r="AB476" s="32">
        <v>32.6</v>
      </c>
      <c r="AC476" s="35" t="s">
        <v>2381</v>
      </c>
      <c r="AH476" s="32" t="s">
        <v>411</v>
      </c>
      <c r="AK476" s="40" t="s">
        <v>915</v>
      </c>
      <c r="AL476" s="32">
        <v>2016</v>
      </c>
      <c r="AM476" s="32" t="s">
        <v>916</v>
      </c>
      <c r="AN476" s="32" t="s">
        <v>917</v>
      </c>
      <c r="AO476" s="38" t="s">
        <v>918</v>
      </c>
      <c r="AP476" s="35" t="s">
        <v>396</v>
      </c>
    </row>
    <row r="477" spans="1:42" x14ac:dyDescent="0.2">
      <c r="A477" s="40">
        <v>53</v>
      </c>
      <c r="B477" s="40">
        <v>476</v>
      </c>
      <c r="C477" s="40" t="s">
        <v>249</v>
      </c>
      <c r="D477" s="38" t="s">
        <v>216</v>
      </c>
      <c r="E477" s="32" t="s">
        <v>2186</v>
      </c>
      <c r="F477" s="32" t="s">
        <v>21</v>
      </c>
      <c r="G477" s="38" t="s">
        <v>163</v>
      </c>
      <c r="H477" s="32" t="s">
        <v>151</v>
      </c>
      <c r="I477" s="32" t="s">
        <v>243</v>
      </c>
      <c r="J477" s="32" t="s">
        <v>883</v>
      </c>
      <c r="K477" s="32" t="s">
        <v>129</v>
      </c>
      <c r="L477" s="32" t="s">
        <v>885</v>
      </c>
      <c r="M477" s="32" t="s">
        <v>884</v>
      </c>
      <c r="N477" s="40">
        <v>2010</v>
      </c>
      <c r="O477" s="32">
        <f>VLOOKUP(Data!N469, CPI!$A$2:$B$112, 2, 0)</f>
        <v>214.53700000000001</v>
      </c>
      <c r="P477" s="32" t="s">
        <v>238</v>
      </c>
      <c r="Q477" s="32" t="s">
        <v>239</v>
      </c>
      <c r="R477" s="32" t="s">
        <v>891</v>
      </c>
      <c r="S477" s="32">
        <v>0.1</v>
      </c>
      <c r="T477" s="32" t="s">
        <v>2376</v>
      </c>
      <c r="U477" s="32">
        <f t="shared" si="29"/>
        <v>6.1349693251533746E-4</v>
      </c>
      <c r="V477" s="32" t="s">
        <v>316</v>
      </c>
      <c r="X477" s="32">
        <f t="shared" si="30"/>
        <v>6.1349693251533746E-4</v>
      </c>
      <c r="Y477" s="32">
        <f>(CPI!$B$112/O477)*X477</f>
        <v>8.7126347219240675E-4</v>
      </c>
      <c r="Z477" s="38" t="s">
        <v>262</v>
      </c>
      <c r="AA477" s="35" t="s">
        <v>2381</v>
      </c>
      <c r="AB477" s="32">
        <v>32.6</v>
      </c>
      <c r="AC477" s="35" t="s">
        <v>2381</v>
      </c>
      <c r="AH477" s="32" t="s">
        <v>411</v>
      </c>
      <c r="AK477" s="40" t="s">
        <v>915</v>
      </c>
      <c r="AL477" s="32">
        <v>2016</v>
      </c>
      <c r="AM477" s="32" t="s">
        <v>916</v>
      </c>
      <c r="AN477" s="32" t="s">
        <v>917</v>
      </c>
      <c r="AO477" s="38" t="s">
        <v>918</v>
      </c>
      <c r="AP477" s="35" t="s">
        <v>396</v>
      </c>
    </row>
    <row r="478" spans="1:42" x14ac:dyDescent="0.2">
      <c r="A478" s="40">
        <v>53</v>
      </c>
      <c r="B478" s="40">
        <v>477</v>
      </c>
      <c r="C478" s="40" t="s">
        <v>249</v>
      </c>
      <c r="D478" s="38" t="s">
        <v>216</v>
      </c>
      <c r="E478" s="32" t="s">
        <v>2183</v>
      </c>
      <c r="F478" s="32" t="s">
        <v>126</v>
      </c>
      <c r="G478" s="38" t="s">
        <v>127</v>
      </c>
      <c r="H478" s="32" t="s">
        <v>151</v>
      </c>
      <c r="I478" s="32" t="s">
        <v>243</v>
      </c>
      <c r="J478" s="32" t="s">
        <v>883</v>
      </c>
      <c r="K478" s="32" t="s">
        <v>129</v>
      </c>
      <c r="L478" s="32" t="s">
        <v>885</v>
      </c>
      <c r="M478" s="32" t="s">
        <v>884</v>
      </c>
      <c r="N478" s="40">
        <v>2010</v>
      </c>
      <c r="O478" s="32">
        <f>VLOOKUP(Data!N470, CPI!$A$2:$B$112, 2, 0)</f>
        <v>207.3</v>
      </c>
      <c r="P478" s="32" t="s">
        <v>238</v>
      </c>
      <c r="Q478" s="32" t="s">
        <v>239</v>
      </c>
      <c r="R478" s="32" t="s">
        <v>892</v>
      </c>
      <c r="S478" s="32">
        <v>10.8</v>
      </c>
      <c r="T478" s="32" t="s">
        <v>2376</v>
      </c>
      <c r="U478" s="32">
        <f t="shared" si="29"/>
        <v>6.6257668711656448E-2</v>
      </c>
      <c r="V478" s="32" t="s">
        <v>316</v>
      </c>
      <c r="X478" s="32">
        <f t="shared" si="30"/>
        <v>6.6257668711656448E-2</v>
      </c>
      <c r="Y478" s="32">
        <f>(CPI!$B$112/O478)*X478</f>
        <v>9.7381433505278225E-2</v>
      </c>
      <c r="Z478" s="38" t="s">
        <v>262</v>
      </c>
      <c r="AA478" s="35" t="s">
        <v>2381</v>
      </c>
      <c r="AB478" s="32">
        <v>32.6</v>
      </c>
      <c r="AC478" s="35" t="s">
        <v>2381</v>
      </c>
      <c r="AH478" s="32" t="s">
        <v>411</v>
      </c>
      <c r="AK478" s="40" t="s">
        <v>915</v>
      </c>
      <c r="AL478" s="32">
        <v>2016</v>
      </c>
      <c r="AM478" s="32" t="s">
        <v>916</v>
      </c>
      <c r="AN478" s="32" t="s">
        <v>917</v>
      </c>
      <c r="AO478" s="38" t="s">
        <v>918</v>
      </c>
      <c r="AP478" s="35" t="s">
        <v>396</v>
      </c>
    </row>
    <row r="479" spans="1:42" x14ac:dyDescent="0.2">
      <c r="A479" s="40">
        <v>53</v>
      </c>
      <c r="B479" s="40">
        <v>478</v>
      </c>
      <c r="C479" s="40" t="s">
        <v>249</v>
      </c>
      <c r="D479" s="38" t="s">
        <v>216</v>
      </c>
      <c r="E479" s="32" t="s">
        <v>2183</v>
      </c>
      <c r="F479" s="32" t="s">
        <v>126</v>
      </c>
      <c r="G479" s="38" t="s">
        <v>127</v>
      </c>
      <c r="H479" s="32" t="s">
        <v>151</v>
      </c>
      <c r="I479" s="32" t="s">
        <v>243</v>
      </c>
      <c r="J479" s="32" t="s">
        <v>883</v>
      </c>
      <c r="K479" s="32" t="s">
        <v>129</v>
      </c>
      <c r="L479" s="32" t="s">
        <v>885</v>
      </c>
      <c r="M479" s="32" t="s">
        <v>884</v>
      </c>
      <c r="N479" s="40">
        <v>2010</v>
      </c>
      <c r="O479" s="32">
        <f>VLOOKUP(Data!N471, CPI!$A$2:$B$112, 2, 0)</f>
        <v>214.53700000000001</v>
      </c>
      <c r="P479" s="32" t="s">
        <v>238</v>
      </c>
      <c r="Q479" s="32" t="s">
        <v>239</v>
      </c>
      <c r="R479" s="32" t="s">
        <v>893</v>
      </c>
      <c r="S479" s="32">
        <v>0.6</v>
      </c>
      <c r="T479" s="32" t="s">
        <v>2376</v>
      </c>
      <c r="U479" s="32">
        <f t="shared" si="29"/>
        <v>3.6809815950920241E-3</v>
      </c>
      <c r="V479" s="32" t="s">
        <v>316</v>
      </c>
      <c r="X479" s="32">
        <f t="shared" si="30"/>
        <v>3.6809815950920241E-3</v>
      </c>
      <c r="Y479" s="32">
        <f>(CPI!$B$112/O479)*X479</f>
        <v>5.2275808331544394E-3</v>
      </c>
      <c r="Z479" s="38" t="s">
        <v>262</v>
      </c>
      <c r="AA479" s="35" t="s">
        <v>2381</v>
      </c>
      <c r="AB479" s="32">
        <v>32.6</v>
      </c>
      <c r="AC479" s="35" t="s">
        <v>2381</v>
      </c>
      <c r="AH479" s="32" t="s">
        <v>411</v>
      </c>
      <c r="AK479" s="40" t="s">
        <v>915</v>
      </c>
      <c r="AL479" s="32">
        <v>2016</v>
      </c>
      <c r="AM479" s="32" t="s">
        <v>916</v>
      </c>
      <c r="AN479" s="32" t="s">
        <v>917</v>
      </c>
      <c r="AO479" s="38" t="s">
        <v>918</v>
      </c>
      <c r="AP479" s="35" t="s">
        <v>396</v>
      </c>
    </row>
    <row r="480" spans="1:42" x14ac:dyDescent="0.2">
      <c r="A480" s="40">
        <v>53</v>
      </c>
      <c r="B480" s="40">
        <v>479</v>
      </c>
      <c r="C480" s="40" t="s">
        <v>249</v>
      </c>
      <c r="D480" s="38" t="s">
        <v>216</v>
      </c>
      <c r="E480" s="32" t="s">
        <v>2183</v>
      </c>
      <c r="F480" s="32" t="s">
        <v>237</v>
      </c>
      <c r="G480" s="38" t="s">
        <v>117</v>
      </c>
      <c r="H480" s="32" t="s">
        <v>151</v>
      </c>
      <c r="I480" s="32" t="s">
        <v>243</v>
      </c>
      <c r="J480" s="32" t="s">
        <v>883</v>
      </c>
      <c r="K480" s="32" t="s">
        <v>129</v>
      </c>
      <c r="L480" s="32" t="s">
        <v>885</v>
      </c>
      <c r="M480" s="32" t="s">
        <v>884</v>
      </c>
      <c r="N480" s="40">
        <v>2010</v>
      </c>
      <c r="O480" s="32">
        <f>VLOOKUP(Data!N472, CPI!$A$2:$B$112, 2, 0)</f>
        <v>218.05600000000001</v>
      </c>
      <c r="P480" s="32" t="s">
        <v>238</v>
      </c>
      <c r="Q480" s="32" t="s">
        <v>239</v>
      </c>
      <c r="R480" s="32" t="s">
        <v>894</v>
      </c>
      <c r="S480" s="32">
        <v>9.6999999999999993</v>
      </c>
      <c r="T480" s="32" t="s">
        <v>2376</v>
      </c>
      <c r="U480" s="32">
        <f t="shared" si="29"/>
        <v>5.9509202453987727E-2</v>
      </c>
      <c r="V480" s="32" t="s">
        <v>316</v>
      </c>
      <c r="X480" s="32">
        <f t="shared" si="30"/>
        <v>5.9509202453987727E-2</v>
      </c>
      <c r="Y480" s="32">
        <f>(CPI!$B$112/O480)*X480</f>
        <v>8.3148688404689655E-2</v>
      </c>
      <c r="Z480" s="38" t="s">
        <v>262</v>
      </c>
      <c r="AA480" s="35" t="s">
        <v>2381</v>
      </c>
      <c r="AB480" s="32">
        <v>32.6</v>
      </c>
      <c r="AC480" s="35" t="s">
        <v>2381</v>
      </c>
      <c r="AH480" s="32" t="s">
        <v>411</v>
      </c>
      <c r="AK480" s="40" t="s">
        <v>915</v>
      </c>
      <c r="AL480" s="32">
        <v>2016</v>
      </c>
      <c r="AM480" s="32" t="s">
        <v>916</v>
      </c>
      <c r="AN480" s="32" t="s">
        <v>917</v>
      </c>
      <c r="AO480" s="38" t="s">
        <v>918</v>
      </c>
      <c r="AP480" s="35" t="s">
        <v>396</v>
      </c>
    </row>
    <row r="481" spans="1:42" x14ac:dyDescent="0.2">
      <c r="A481" s="40">
        <v>53</v>
      </c>
      <c r="B481" s="40">
        <v>480</v>
      </c>
      <c r="C481" s="40" t="s">
        <v>249</v>
      </c>
      <c r="D481" s="38" t="s">
        <v>216</v>
      </c>
      <c r="E481" s="32" t="s">
        <v>2183</v>
      </c>
      <c r="F481" s="32" t="s">
        <v>126</v>
      </c>
      <c r="G481" s="38" t="s">
        <v>152</v>
      </c>
      <c r="H481" s="32" t="s">
        <v>151</v>
      </c>
      <c r="I481" s="32" t="s">
        <v>243</v>
      </c>
      <c r="J481" s="32" t="s">
        <v>883</v>
      </c>
      <c r="K481" s="32" t="s">
        <v>129</v>
      </c>
      <c r="L481" s="32" t="s">
        <v>885</v>
      </c>
      <c r="M481" s="32" t="s">
        <v>884</v>
      </c>
      <c r="N481" s="40">
        <v>2010</v>
      </c>
      <c r="O481" s="32">
        <f>VLOOKUP(Data!N473, CPI!$A$2:$B$112, 2, 0)</f>
        <v>218.05600000000001</v>
      </c>
      <c r="P481" s="32" t="s">
        <v>238</v>
      </c>
      <c r="Q481" s="32" t="s">
        <v>239</v>
      </c>
      <c r="R481" s="32" t="s">
        <v>895</v>
      </c>
      <c r="S481" s="32">
        <v>33.799999999999997</v>
      </c>
      <c r="T481" s="32" t="s">
        <v>2376</v>
      </c>
      <c r="U481" s="32">
        <f t="shared" si="29"/>
        <v>0.20736196319018405</v>
      </c>
      <c r="V481" s="32" t="s">
        <v>316</v>
      </c>
      <c r="X481" s="32">
        <f t="shared" si="30"/>
        <v>0.20736196319018405</v>
      </c>
      <c r="Y481" s="32">
        <f>(CPI!$B$112/O481)*X481</f>
        <v>0.28973460495654746</v>
      </c>
      <c r="Z481" s="38" t="s">
        <v>262</v>
      </c>
      <c r="AA481" s="35" t="s">
        <v>2381</v>
      </c>
      <c r="AB481" s="32">
        <v>32.6</v>
      </c>
      <c r="AC481" s="35" t="s">
        <v>2381</v>
      </c>
      <c r="AH481" s="32" t="s">
        <v>411</v>
      </c>
      <c r="AK481" s="40" t="s">
        <v>915</v>
      </c>
      <c r="AL481" s="32">
        <v>2016</v>
      </c>
      <c r="AM481" s="32" t="s">
        <v>916</v>
      </c>
      <c r="AN481" s="32" t="s">
        <v>917</v>
      </c>
      <c r="AO481" s="38" t="s">
        <v>918</v>
      </c>
      <c r="AP481" s="35" t="s">
        <v>396</v>
      </c>
    </row>
    <row r="482" spans="1:42" x14ac:dyDescent="0.2">
      <c r="A482" s="40">
        <v>53</v>
      </c>
      <c r="B482" s="40">
        <v>481</v>
      </c>
      <c r="C482" s="40" t="s">
        <v>249</v>
      </c>
      <c r="D482" s="38" t="s">
        <v>216</v>
      </c>
      <c r="E482" s="32" t="s">
        <v>2183</v>
      </c>
      <c r="F482" s="32" t="s">
        <v>126</v>
      </c>
      <c r="G482" s="38" t="s">
        <v>153</v>
      </c>
      <c r="H482" s="32" t="s">
        <v>151</v>
      </c>
      <c r="I482" s="32" t="s">
        <v>243</v>
      </c>
      <c r="J482" s="32" t="s">
        <v>883</v>
      </c>
      <c r="K482" s="32" t="s">
        <v>129</v>
      </c>
      <c r="L482" s="32" t="s">
        <v>885</v>
      </c>
      <c r="M482" s="32" t="s">
        <v>884</v>
      </c>
      <c r="N482" s="40">
        <v>2010</v>
      </c>
      <c r="O482" s="32">
        <f>VLOOKUP(Data!N474, CPI!$A$2:$B$112, 2, 0)</f>
        <v>218.05600000000001</v>
      </c>
      <c r="P482" s="32" t="s">
        <v>238</v>
      </c>
      <c r="Q482" s="32" t="s">
        <v>239</v>
      </c>
      <c r="R482" s="32" t="s">
        <v>896</v>
      </c>
      <c r="S482" s="32">
        <v>0.4</v>
      </c>
      <c r="T482" s="32" t="s">
        <v>2376</v>
      </c>
      <c r="U482" s="32">
        <f t="shared" si="29"/>
        <v>2.4539877300613498E-3</v>
      </c>
      <c r="V482" s="32" t="s">
        <v>316</v>
      </c>
      <c r="X482" s="32">
        <f t="shared" si="30"/>
        <v>2.4539877300613498E-3</v>
      </c>
      <c r="Y482" s="32">
        <f>(CPI!$B$112/O482)*X482</f>
        <v>3.4288118929768933E-3</v>
      </c>
      <c r="Z482" s="38" t="s">
        <v>262</v>
      </c>
      <c r="AA482" s="35" t="s">
        <v>2381</v>
      </c>
      <c r="AB482" s="32">
        <v>32.6</v>
      </c>
      <c r="AC482" s="35" t="s">
        <v>2381</v>
      </c>
      <c r="AH482" s="32" t="s">
        <v>411</v>
      </c>
      <c r="AK482" s="40" t="s">
        <v>915</v>
      </c>
      <c r="AL482" s="32">
        <v>2016</v>
      </c>
      <c r="AM482" s="32" t="s">
        <v>916</v>
      </c>
      <c r="AN482" s="32" t="s">
        <v>917</v>
      </c>
      <c r="AO482" s="38" t="s">
        <v>918</v>
      </c>
      <c r="AP482" s="35" t="s">
        <v>396</v>
      </c>
    </row>
    <row r="483" spans="1:42" x14ac:dyDescent="0.2">
      <c r="A483" s="40">
        <v>53</v>
      </c>
      <c r="B483" s="40">
        <v>482</v>
      </c>
      <c r="C483" s="40" t="s">
        <v>249</v>
      </c>
      <c r="D483" s="38" t="s">
        <v>216</v>
      </c>
      <c r="E483" s="32" t="s">
        <v>2183</v>
      </c>
      <c r="F483" s="32" t="s">
        <v>126</v>
      </c>
      <c r="G483" s="38" t="s">
        <v>153</v>
      </c>
      <c r="H483" s="32" t="s">
        <v>151</v>
      </c>
      <c r="I483" s="32" t="s">
        <v>243</v>
      </c>
      <c r="J483" s="32" t="s">
        <v>883</v>
      </c>
      <c r="K483" s="32" t="s">
        <v>129</v>
      </c>
      <c r="L483" s="32" t="s">
        <v>885</v>
      </c>
      <c r="M483" s="32" t="s">
        <v>884</v>
      </c>
      <c r="N483" s="40">
        <v>2010</v>
      </c>
      <c r="O483" s="32">
        <f>VLOOKUP(Data!N475, CPI!$A$2:$B$112, 2, 0)</f>
        <v>218.05600000000001</v>
      </c>
      <c r="P483" s="32" t="s">
        <v>238</v>
      </c>
      <c r="Q483" s="32" t="s">
        <v>239</v>
      </c>
      <c r="R483" s="32" t="s">
        <v>897</v>
      </c>
      <c r="S483" s="32">
        <v>25.4</v>
      </c>
      <c r="T483" s="32" t="s">
        <v>2376</v>
      </c>
      <c r="U483" s="32">
        <f t="shared" si="29"/>
        <v>0.15582822085889569</v>
      </c>
      <c r="V483" s="32" t="s">
        <v>316</v>
      </c>
      <c r="X483" s="32">
        <f t="shared" si="30"/>
        <v>0.15582822085889569</v>
      </c>
      <c r="Y483" s="32">
        <f>(CPI!$B$112/O483)*X483</f>
        <v>0.2177295552040327</v>
      </c>
      <c r="Z483" s="38" t="s">
        <v>262</v>
      </c>
      <c r="AA483" s="35" t="s">
        <v>2381</v>
      </c>
      <c r="AB483" s="32">
        <v>32.6</v>
      </c>
      <c r="AC483" s="35" t="s">
        <v>2381</v>
      </c>
      <c r="AH483" s="32" t="s">
        <v>411</v>
      </c>
      <c r="AK483" s="40" t="s">
        <v>915</v>
      </c>
      <c r="AL483" s="32">
        <v>2016</v>
      </c>
      <c r="AM483" s="32" t="s">
        <v>916</v>
      </c>
      <c r="AN483" s="32" t="s">
        <v>917</v>
      </c>
      <c r="AO483" s="38" t="s">
        <v>918</v>
      </c>
      <c r="AP483" s="35" t="s">
        <v>396</v>
      </c>
    </row>
    <row r="484" spans="1:42" x14ac:dyDescent="0.2">
      <c r="A484" s="40">
        <v>53</v>
      </c>
      <c r="B484" s="40">
        <v>483</v>
      </c>
      <c r="C484" s="40" t="s">
        <v>249</v>
      </c>
      <c r="D484" s="38" t="s">
        <v>216</v>
      </c>
      <c r="E484" s="32" t="s">
        <v>2887</v>
      </c>
      <c r="F484" s="32" t="s">
        <v>52</v>
      </c>
      <c r="G484" s="38" t="s">
        <v>57</v>
      </c>
      <c r="H484" s="32" t="s">
        <v>151</v>
      </c>
      <c r="I484" s="32" t="s">
        <v>243</v>
      </c>
      <c r="J484" s="32" t="s">
        <v>883</v>
      </c>
      <c r="K484" s="32" t="s">
        <v>129</v>
      </c>
      <c r="L484" s="32" t="s">
        <v>885</v>
      </c>
      <c r="M484" s="32" t="s">
        <v>884</v>
      </c>
      <c r="N484" s="40">
        <v>2010</v>
      </c>
      <c r="O484" s="32">
        <f>VLOOKUP(Data!N476, CPI!$A$2:$B$112, 2, 0)</f>
        <v>218.05600000000001</v>
      </c>
      <c r="P484" s="32" t="s">
        <v>238</v>
      </c>
      <c r="Q484" s="32" t="s">
        <v>239</v>
      </c>
      <c r="R484" s="32" t="s">
        <v>898</v>
      </c>
      <c r="S484" s="32">
        <v>0.8</v>
      </c>
      <c r="T484" s="32" t="s">
        <v>2376</v>
      </c>
      <c r="U484" s="32">
        <f t="shared" si="29"/>
        <v>4.9079754601226997E-3</v>
      </c>
      <c r="V484" s="32" t="s">
        <v>316</v>
      </c>
      <c r="X484" s="32">
        <f t="shared" si="30"/>
        <v>4.9079754601226997E-3</v>
      </c>
      <c r="Y484" s="32">
        <f>(CPI!$B$112/O484)*X484</f>
        <v>6.8576237859537866E-3</v>
      </c>
      <c r="Z484" s="38" t="s">
        <v>262</v>
      </c>
      <c r="AA484" s="35" t="s">
        <v>2381</v>
      </c>
      <c r="AB484" s="32">
        <v>32.6</v>
      </c>
      <c r="AC484" s="35" t="s">
        <v>2381</v>
      </c>
      <c r="AH484" s="32" t="s">
        <v>411</v>
      </c>
      <c r="AK484" s="40" t="s">
        <v>915</v>
      </c>
      <c r="AL484" s="32">
        <v>2016</v>
      </c>
      <c r="AM484" s="32" t="s">
        <v>916</v>
      </c>
      <c r="AN484" s="32" t="s">
        <v>917</v>
      </c>
      <c r="AO484" s="38" t="s">
        <v>918</v>
      </c>
      <c r="AP484" s="35" t="s">
        <v>396</v>
      </c>
    </row>
    <row r="485" spans="1:42" x14ac:dyDescent="0.2">
      <c r="A485" s="40">
        <v>53</v>
      </c>
      <c r="B485" s="40">
        <v>484</v>
      </c>
      <c r="C485" s="40" t="s">
        <v>249</v>
      </c>
      <c r="D485" s="38" t="s">
        <v>216</v>
      </c>
      <c r="E485" s="32" t="s">
        <v>2186</v>
      </c>
      <c r="F485" s="32" t="s">
        <v>21</v>
      </c>
      <c r="G485" s="38" t="s">
        <v>163</v>
      </c>
      <c r="H485" s="32" t="s">
        <v>151</v>
      </c>
      <c r="I485" s="32" t="s">
        <v>243</v>
      </c>
      <c r="J485" s="32" t="s">
        <v>883</v>
      </c>
      <c r="K485" s="32" t="s">
        <v>129</v>
      </c>
      <c r="L485" s="32" t="s">
        <v>885</v>
      </c>
      <c r="M485" s="32" t="s">
        <v>884</v>
      </c>
      <c r="N485" s="40">
        <v>2010</v>
      </c>
      <c r="O485" s="32">
        <f>VLOOKUP(Data!N477, CPI!$A$2:$B$112, 2, 0)</f>
        <v>218.05600000000001</v>
      </c>
      <c r="P485" s="32" t="s">
        <v>238</v>
      </c>
      <c r="Q485" s="32" t="s">
        <v>239</v>
      </c>
      <c r="R485" s="32" t="s">
        <v>899</v>
      </c>
      <c r="S485" s="32">
        <v>254.3</v>
      </c>
      <c r="T485" s="32" t="s">
        <v>2376</v>
      </c>
      <c r="U485" s="32">
        <f t="shared" si="29"/>
        <v>2.66282722513089</v>
      </c>
      <c r="V485" s="32" t="s">
        <v>316</v>
      </c>
      <c r="X485" s="32">
        <f t="shared" si="30"/>
        <v>2.66282722513089</v>
      </c>
      <c r="Y485" s="32">
        <f>(CPI!$B$112/O485)*X485</f>
        <v>3.7206109658271176</v>
      </c>
      <c r="Z485" s="38" t="s">
        <v>262</v>
      </c>
      <c r="AA485" s="35" t="s">
        <v>2381</v>
      </c>
      <c r="AB485" s="32">
        <v>19.100000000000001</v>
      </c>
      <c r="AC485" s="35" t="s">
        <v>2381</v>
      </c>
      <c r="AH485" s="32" t="s">
        <v>411</v>
      </c>
      <c r="AK485" s="40" t="s">
        <v>915</v>
      </c>
      <c r="AL485" s="32">
        <v>2016</v>
      </c>
      <c r="AM485" s="32" t="s">
        <v>916</v>
      </c>
      <c r="AN485" s="32" t="s">
        <v>917</v>
      </c>
      <c r="AO485" s="38" t="s">
        <v>918</v>
      </c>
      <c r="AP485" s="35" t="s">
        <v>396</v>
      </c>
    </row>
    <row r="486" spans="1:42" x14ac:dyDescent="0.2">
      <c r="A486" s="40">
        <v>53</v>
      </c>
      <c r="B486" s="40">
        <v>485</v>
      </c>
      <c r="C486" s="40" t="s">
        <v>249</v>
      </c>
      <c r="D486" s="38" t="s">
        <v>216</v>
      </c>
      <c r="E486" s="32" t="s">
        <v>2183</v>
      </c>
      <c r="F486" s="32" t="s">
        <v>126</v>
      </c>
      <c r="G486" s="38" t="s">
        <v>127</v>
      </c>
      <c r="H486" s="32" t="s">
        <v>151</v>
      </c>
      <c r="I486" s="32" t="s">
        <v>243</v>
      </c>
      <c r="J486" s="32" t="s">
        <v>883</v>
      </c>
      <c r="K486" s="32" t="s">
        <v>129</v>
      </c>
      <c r="L486" s="32" t="s">
        <v>885</v>
      </c>
      <c r="M486" s="32" t="s">
        <v>884</v>
      </c>
      <c r="N486" s="40">
        <v>2010</v>
      </c>
      <c r="O486" s="32">
        <f>VLOOKUP(Data!N478, CPI!$A$2:$B$112, 2, 0)</f>
        <v>218.05600000000001</v>
      </c>
      <c r="P486" s="32" t="s">
        <v>238</v>
      </c>
      <c r="Q486" s="32" t="s">
        <v>239</v>
      </c>
      <c r="R486" s="32" t="s">
        <v>900</v>
      </c>
      <c r="S486" s="32">
        <v>182.7</v>
      </c>
      <c r="T486" s="32" t="s">
        <v>2376</v>
      </c>
      <c r="U486" s="32">
        <f t="shared" si="29"/>
        <v>1.913089005235602</v>
      </c>
      <c r="V486" s="32" t="s">
        <v>316</v>
      </c>
      <c r="X486" s="32">
        <f t="shared" si="30"/>
        <v>1.913089005235602</v>
      </c>
      <c r="Y486" s="32">
        <f>(CPI!$B$112/O486)*X486</f>
        <v>2.6730461008911299</v>
      </c>
      <c r="Z486" s="38" t="s">
        <v>262</v>
      </c>
      <c r="AA486" s="35" t="s">
        <v>2381</v>
      </c>
      <c r="AB486" s="32">
        <v>19.100000000000001</v>
      </c>
      <c r="AC486" s="35" t="s">
        <v>2381</v>
      </c>
      <c r="AH486" s="32" t="s">
        <v>411</v>
      </c>
      <c r="AK486" s="40" t="s">
        <v>915</v>
      </c>
      <c r="AL486" s="32">
        <v>2016</v>
      </c>
      <c r="AM486" s="32" t="s">
        <v>916</v>
      </c>
      <c r="AN486" s="32" t="s">
        <v>917</v>
      </c>
      <c r="AO486" s="38" t="s">
        <v>918</v>
      </c>
      <c r="AP486" s="35" t="s">
        <v>396</v>
      </c>
    </row>
    <row r="487" spans="1:42" x14ac:dyDescent="0.2">
      <c r="A487" s="40">
        <v>53</v>
      </c>
      <c r="B487" s="40">
        <v>486</v>
      </c>
      <c r="C487" s="40" t="s">
        <v>249</v>
      </c>
      <c r="D487" s="38" t="s">
        <v>216</v>
      </c>
      <c r="E487" s="32" t="s">
        <v>2183</v>
      </c>
      <c r="F487" s="32" t="s">
        <v>126</v>
      </c>
      <c r="G487" s="38" t="s">
        <v>60</v>
      </c>
      <c r="H487" s="32" t="s">
        <v>151</v>
      </c>
      <c r="I487" s="32" t="s">
        <v>243</v>
      </c>
      <c r="J487" s="32" t="s">
        <v>883</v>
      </c>
      <c r="K487" s="32" t="s">
        <v>129</v>
      </c>
      <c r="L487" s="32" t="s">
        <v>885</v>
      </c>
      <c r="M487" s="32" t="s">
        <v>884</v>
      </c>
      <c r="N487" s="40">
        <v>2010</v>
      </c>
      <c r="O487" s="32">
        <f>VLOOKUP(Data!N479, CPI!$A$2:$B$112, 2, 0)</f>
        <v>218.05600000000001</v>
      </c>
      <c r="P487" s="32" t="s">
        <v>238</v>
      </c>
      <c r="Q487" s="32" t="s">
        <v>239</v>
      </c>
      <c r="R487" s="32" t="s">
        <v>901</v>
      </c>
      <c r="S487" s="32">
        <v>31.7</v>
      </c>
      <c r="T487" s="32" t="s">
        <v>2376</v>
      </c>
      <c r="U487" s="32">
        <f t="shared" si="29"/>
        <v>0.33193717277486906</v>
      </c>
      <c r="V487" s="32" t="s">
        <v>316</v>
      </c>
      <c r="X487" s="32">
        <f t="shared" si="30"/>
        <v>0.33193717277486906</v>
      </c>
      <c r="Y487" s="32">
        <f>(CPI!$B$112/O487)*X487</f>
        <v>0.46379617623562569</v>
      </c>
      <c r="Z487" s="38" t="s">
        <v>262</v>
      </c>
      <c r="AA487" s="35" t="s">
        <v>2381</v>
      </c>
      <c r="AB487" s="32">
        <v>19.100000000000001</v>
      </c>
      <c r="AC487" s="35" t="s">
        <v>2381</v>
      </c>
      <c r="AH487" s="32" t="s">
        <v>411</v>
      </c>
      <c r="AK487" s="40" t="s">
        <v>915</v>
      </c>
      <c r="AL487" s="32">
        <v>2016</v>
      </c>
      <c r="AM487" s="32" t="s">
        <v>916</v>
      </c>
      <c r="AN487" s="32" t="s">
        <v>917</v>
      </c>
      <c r="AO487" s="38" t="s">
        <v>918</v>
      </c>
      <c r="AP487" s="35" t="s">
        <v>396</v>
      </c>
    </row>
    <row r="488" spans="1:42" x14ac:dyDescent="0.2">
      <c r="A488" s="40">
        <v>53</v>
      </c>
      <c r="B488" s="40">
        <v>487</v>
      </c>
      <c r="C488" s="40" t="s">
        <v>249</v>
      </c>
      <c r="D488" s="38" t="s">
        <v>216</v>
      </c>
      <c r="E488" s="32" t="s">
        <v>2186</v>
      </c>
      <c r="F488" s="32" t="s">
        <v>21</v>
      </c>
      <c r="G488" s="38" t="s">
        <v>163</v>
      </c>
      <c r="H488" s="32" t="s">
        <v>151</v>
      </c>
      <c r="I488" s="32" t="s">
        <v>243</v>
      </c>
      <c r="J488" s="32" t="s">
        <v>883</v>
      </c>
      <c r="K488" s="32" t="s">
        <v>129</v>
      </c>
      <c r="L488" s="32" t="s">
        <v>885</v>
      </c>
      <c r="M488" s="32" t="s">
        <v>884</v>
      </c>
      <c r="N488" s="40">
        <v>2010</v>
      </c>
      <c r="O488" s="32">
        <f>VLOOKUP(Data!N480, CPI!$A$2:$B$112, 2, 0)</f>
        <v>218.05600000000001</v>
      </c>
      <c r="P488" s="32" t="s">
        <v>238</v>
      </c>
      <c r="Q488" s="32" t="s">
        <v>239</v>
      </c>
      <c r="R488" s="32" t="s">
        <v>902</v>
      </c>
      <c r="S488" s="32">
        <v>2.4</v>
      </c>
      <c r="T488" s="32" t="s">
        <v>2376</v>
      </c>
      <c r="U488" s="32">
        <f t="shared" si="29"/>
        <v>2.5130890052356018E-2</v>
      </c>
      <c r="V488" s="32" t="s">
        <v>316</v>
      </c>
      <c r="X488" s="32">
        <f t="shared" si="30"/>
        <v>2.5130890052356018E-2</v>
      </c>
      <c r="Y488" s="32">
        <f>(CPI!$B$112/O488)*X488</f>
        <v>3.5113906087239799E-2</v>
      </c>
      <c r="Z488" s="38" t="s">
        <v>262</v>
      </c>
      <c r="AA488" s="35" t="s">
        <v>2381</v>
      </c>
      <c r="AB488" s="32">
        <v>19.100000000000001</v>
      </c>
      <c r="AC488" s="35" t="s">
        <v>2381</v>
      </c>
      <c r="AH488" s="32" t="s">
        <v>411</v>
      </c>
      <c r="AK488" s="40" t="s">
        <v>915</v>
      </c>
      <c r="AL488" s="32">
        <v>2016</v>
      </c>
      <c r="AM488" s="32" t="s">
        <v>916</v>
      </c>
      <c r="AN488" s="32" t="s">
        <v>917</v>
      </c>
      <c r="AO488" s="38" t="s">
        <v>918</v>
      </c>
      <c r="AP488" s="35" t="s">
        <v>396</v>
      </c>
    </row>
    <row r="489" spans="1:42" x14ac:dyDescent="0.2">
      <c r="A489" s="40">
        <v>53</v>
      </c>
      <c r="B489" s="40">
        <v>488</v>
      </c>
      <c r="C489" s="40" t="s">
        <v>249</v>
      </c>
      <c r="D489" s="38" t="s">
        <v>216</v>
      </c>
      <c r="E489" s="32" t="s">
        <v>2186</v>
      </c>
      <c r="F489" s="32" t="s">
        <v>21</v>
      </c>
      <c r="G489" s="38" t="s">
        <v>163</v>
      </c>
      <c r="H489" s="32" t="s">
        <v>151</v>
      </c>
      <c r="I489" s="32" t="s">
        <v>243</v>
      </c>
      <c r="J489" s="32" t="s">
        <v>883</v>
      </c>
      <c r="K489" s="32" t="s">
        <v>129</v>
      </c>
      <c r="L489" s="32" t="s">
        <v>885</v>
      </c>
      <c r="M489" s="32" t="s">
        <v>884</v>
      </c>
      <c r="N489" s="40">
        <v>2010</v>
      </c>
      <c r="O489" s="32">
        <f>VLOOKUP(Data!N481, CPI!$A$2:$B$112, 2, 0)</f>
        <v>218.05600000000001</v>
      </c>
      <c r="P489" s="32" t="s">
        <v>238</v>
      </c>
      <c r="Q489" s="32" t="s">
        <v>239</v>
      </c>
      <c r="R489" s="32" t="s">
        <v>903</v>
      </c>
      <c r="S489" s="32">
        <v>0.5</v>
      </c>
      <c r="T489" s="32" t="s">
        <v>2376</v>
      </c>
      <c r="U489" s="32">
        <f t="shared" si="29"/>
        <v>5.235602094240838E-3</v>
      </c>
      <c r="V489" s="32" t="s">
        <v>316</v>
      </c>
      <c r="X489" s="32">
        <f t="shared" si="30"/>
        <v>5.235602094240838E-3</v>
      </c>
      <c r="Y489" s="32">
        <f>(CPI!$B$112/O489)*X489</f>
        <v>7.3153971015082926E-3</v>
      </c>
      <c r="Z489" s="38" t="s">
        <v>262</v>
      </c>
      <c r="AA489" s="35" t="s">
        <v>2381</v>
      </c>
      <c r="AB489" s="32">
        <v>19.100000000000001</v>
      </c>
      <c r="AC489" s="35" t="s">
        <v>2381</v>
      </c>
      <c r="AH489" s="32" t="s">
        <v>411</v>
      </c>
      <c r="AK489" s="40" t="s">
        <v>915</v>
      </c>
      <c r="AL489" s="32">
        <v>2016</v>
      </c>
      <c r="AM489" s="32" t="s">
        <v>916</v>
      </c>
      <c r="AN489" s="32" t="s">
        <v>917</v>
      </c>
      <c r="AO489" s="38" t="s">
        <v>918</v>
      </c>
      <c r="AP489" s="35" t="s">
        <v>396</v>
      </c>
    </row>
    <row r="490" spans="1:42" x14ac:dyDescent="0.2">
      <c r="A490" s="40">
        <v>53</v>
      </c>
      <c r="B490" s="40">
        <v>489</v>
      </c>
      <c r="C490" s="40" t="s">
        <v>249</v>
      </c>
      <c r="D490" s="38" t="s">
        <v>216</v>
      </c>
      <c r="E490" s="32" t="s">
        <v>2183</v>
      </c>
      <c r="F490" s="32" t="s">
        <v>126</v>
      </c>
      <c r="G490" s="38" t="s">
        <v>127</v>
      </c>
      <c r="H490" s="32" t="s">
        <v>151</v>
      </c>
      <c r="I490" s="32" t="s">
        <v>243</v>
      </c>
      <c r="J490" s="32" t="s">
        <v>883</v>
      </c>
      <c r="K490" s="32" t="s">
        <v>129</v>
      </c>
      <c r="L490" s="32" t="s">
        <v>885</v>
      </c>
      <c r="M490" s="32" t="s">
        <v>884</v>
      </c>
      <c r="N490" s="40">
        <v>2010</v>
      </c>
      <c r="O490" s="32">
        <f>VLOOKUP(Data!N482, CPI!$A$2:$B$112, 2, 0)</f>
        <v>218.05600000000001</v>
      </c>
      <c r="P490" s="32" t="s">
        <v>238</v>
      </c>
      <c r="Q490" s="32" t="s">
        <v>239</v>
      </c>
      <c r="R490" s="32" t="s">
        <v>904</v>
      </c>
      <c r="S490" s="32">
        <v>4.2</v>
      </c>
      <c r="T490" s="32" t="s">
        <v>2376</v>
      </c>
      <c r="U490" s="32">
        <f t="shared" si="29"/>
        <v>4.3979057591623037E-2</v>
      </c>
      <c r="V490" s="32" t="s">
        <v>316</v>
      </c>
      <c r="X490" s="32">
        <f t="shared" si="30"/>
        <v>4.3979057591623037E-2</v>
      </c>
      <c r="Y490" s="32">
        <f>(CPI!$B$112/O490)*X490</f>
        <v>6.1449335652669655E-2</v>
      </c>
      <c r="Z490" s="38" t="s">
        <v>262</v>
      </c>
      <c r="AA490" s="35" t="s">
        <v>2381</v>
      </c>
      <c r="AB490" s="32">
        <v>19.100000000000001</v>
      </c>
      <c r="AC490" s="35" t="s">
        <v>2381</v>
      </c>
      <c r="AH490" s="32" t="s">
        <v>411</v>
      </c>
      <c r="AK490" s="40" t="s">
        <v>915</v>
      </c>
      <c r="AL490" s="32">
        <v>2016</v>
      </c>
      <c r="AM490" s="32" t="s">
        <v>916</v>
      </c>
      <c r="AN490" s="32" t="s">
        <v>917</v>
      </c>
      <c r="AO490" s="38" t="s">
        <v>918</v>
      </c>
      <c r="AP490" s="35" t="s">
        <v>396</v>
      </c>
    </row>
    <row r="491" spans="1:42" x14ac:dyDescent="0.2">
      <c r="A491" s="40">
        <v>53</v>
      </c>
      <c r="B491" s="40">
        <v>490</v>
      </c>
      <c r="C491" s="40" t="s">
        <v>249</v>
      </c>
      <c r="D491" s="38" t="s">
        <v>216</v>
      </c>
      <c r="E491" s="32" t="s">
        <v>2183</v>
      </c>
      <c r="F491" s="32" t="s">
        <v>126</v>
      </c>
      <c r="G491" s="38" t="s">
        <v>127</v>
      </c>
      <c r="H491" s="32" t="s">
        <v>151</v>
      </c>
      <c r="I491" s="32" t="s">
        <v>243</v>
      </c>
      <c r="J491" s="32" t="s">
        <v>883</v>
      </c>
      <c r="K491" s="32" t="s">
        <v>129</v>
      </c>
      <c r="L491" s="32" t="s">
        <v>885</v>
      </c>
      <c r="M491" s="32" t="s">
        <v>884</v>
      </c>
      <c r="N491" s="40">
        <v>2010</v>
      </c>
      <c r="O491" s="32">
        <f>VLOOKUP(Data!N483, CPI!$A$2:$B$112, 2, 0)</f>
        <v>218.05600000000001</v>
      </c>
      <c r="P491" s="32" t="s">
        <v>238</v>
      </c>
      <c r="Q491" s="32" t="s">
        <v>239</v>
      </c>
      <c r="R491" s="32" t="s">
        <v>905</v>
      </c>
      <c r="S491" s="32">
        <v>1.1000000000000001</v>
      </c>
      <c r="T491" s="32" t="s">
        <v>2376</v>
      </c>
      <c r="U491" s="32">
        <f t="shared" si="29"/>
        <v>1.1518324607329844E-2</v>
      </c>
      <c r="V491" s="32" t="s">
        <v>316</v>
      </c>
      <c r="X491" s="32">
        <f t="shared" si="30"/>
        <v>1.1518324607329844E-2</v>
      </c>
      <c r="Y491" s="32">
        <f>(CPI!$B$112/O491)*X491</f>
        <v>1.6093873623318246E-2</v>
      </c>
      <c r="Z491" s="38" t="s">
        <v>262</v>
      </c>
      <c r="AA491" s="35" t="s">
        <v>2381</v>
      </c>
      <c r="AB491" s="32">
        <v>19.100000000000001</v>
      </c>
      <c r="AC491" s="35" t="s">
        <v>2381</v>
      </c>
      <c r="AH491" s="32" t="s">
        <v>411</v>
      </c>
      <c r="AK491" s="40" t="s">
        <v>915</v>
      </c>
      <c r="AL491" s="32">
        <v>2016</v>
      </c>
      <c r="AM491" s="32" t="s">
        <v>916</v>
      </c>
      <c r="AN491" s="32" t="s">
        <v>917</v>
      </c>
      <c r="AO491" s="38" t="s">
        <v>918</v>
      </c>
      <c r="AP491" s="35" t="s">
        <v>396</v>
      </c>
    </row>
    <row r="492" spans="1:42" x14ac:dyDescent="0.2">
      <c r="A492" s="40">
        <v>53</v>
      </c>
      <c r="B492" s="40">
        <v>491</v>
      </c>
      <c r="C492" s="40" t="s">
        <v>249</v>
      </c>
      <c r="D492" s="38" t="s">
        <v>216</v>
      </c>
      <c r="E492" s="32" t="s">
        <v>2186</v>
      </c>
      <c r="F492" s="32" t="s">
        <v>21</v>
      </c>
      <c r="G492" s="38" t="s">
        <v>163</v>
      </c>
      <c r="H492" s="32" t="s">
        <v>151</v>
      </c>
      <c r="I492" s="32" t="s">
        <v>243</v>
      </c>
      <c r="J492" s="32" t="s">
        <v>883</v>
      </c>
      <c r="K492" s="32" t="s">
        <v>129</v>
      </c>
      <c r="L492" s="32" t="s">
        <v>885</v>
      </c>
      <c r="M492" s="32" t="s">
        <v>884</v>
      </c>
      <c r="N492" s="40">
        <v>2010</v>
      </c>
      <c r="O492" s="32">
        <f>VLOOKUP(Data!N484, CPI!$A$2:$B$112, 2, 0)</f>
        <v>218.05600000000001</v>
      </c>
      <c r="P492" s="32" t="s">
        <v>238</v>
      </c>
      <c r="Q492" s="32" t="s">
        <v>239</v>
      </c>
      <c r="R492" s="32" t="s">
        <v>906</v>
      </c>
      <c r="S492" s="32">
        <v>0.7</v>
      </c>
      <c r="T492" s="32" t="s">
        <v>2376</v>
      </c>
      <c r="U492" s="32">
        <f t="shared" si="29"/>
        <v>7.3298429319371711E-3</v>
      </c>
      <c r="V492" s="32" t="s">
        <v>316</v>
      </c>
      <c r="X492" s="32">
        <f t="shared" si="30"/>
        <v>7.3298429319371711E-3</v>
      </c>
      <c r="Y492" s="32">
        <f>(CPI!$B$112/O492)*X492</f>
        <v>1.0241555942111607E-2</v>
      </c>
      <c r="Z492" s="38" t="s">
        <v>262</v>
      </c>
      <c r="AA492" s="35" t="s">
        <v>2381</v>
      </c>
      <c r="AB492" s="32">
        <v>19.100000000000001</v>
      </c>
      <c r="AC492" s="35" t="s">
        <v>2381</v>
      </c>
      <c r="AH492" s="32" t="s">
        <v>411</v>
      </c>
      <c r="AK492" s="40" t="s">
        <v>915</v>
      </c>
      <c r="AL492" s="32">
        <v>2016</v>
      </c>
      <c r="AM492" s="32" t="s">
        <v>916</v>
      </c>
      <c r="AN492" s="32" t="s">
        <v>917</v>
      </c>
      <c r="AO492" s="38" t="s">
        <v>918</v>
      </c>
      <c r="AP492" s="35" t="s">
        <v>396</v>
      </c>
    </row>
    <row r="493" spans="1:42" x14ac:dyDescent="0.2">
      <c r="A493" s="40">
        <v>53</v>
      </c>
      <c r="B493" s="40">
        <v>492</v>
      </c>
      <c r="C493" s="40" t="s">
        <v>249</v>
      </c>
      <c r="D493" s="38" t="s">
        <v>216</v>
      </c>
      <c r="E493" s="32" t="s">
        <v>2186</v>
      </c>
      <c r="F493" s="32" t="s">
        <v>21</v>
      </c>
      <c r="G493" s="38" t="s">
        <v>163</v>
      </c>
      <c r="H493" s="32" t="s">
        <v>151</v>
      </c>
      <c r="I493" s="32" t="s">
        <v>243</v>
      </c>
      <c r="J493" s="32" t="s">
        <v>883</v>
      </c>
      <c r="K493" s="32" t="s">
        <v>129</v>
      </c>
      <c r="L493" s="32" t="s">
        <v>885</v>
      </c>
      <c r="M493" s="32" t="s">
        <v>884</v>
      </c>
      <c r="N493" s="40">
        <v>2010</v>
      </c>
      <c r="O493" s="32">
        <f>VLOOKUP(Data!N485, CPI!$A$2:$B$112, 2, 0)</f>
        <v>218.05600000000001</v>
      </c>
      <c r="P493" s="32" t="s">
        <v>238</v>
      </c>
      <c r="Q493" s="32" t="s">
        <v>239</v>
      </c>
      <c r="R493" s="32" t="s">
        <v>907</v>
      </c>
      <c r="S493" s="32">
        <v>0.2</v>
      </c>
      <c r="T493" s="32" t="s">
        <v>2376</v>
      </c>
      <c r="U493" s="32">
        <f t="shared" si="29"/>
        <v>2.0942408376963349E-3</v>
      </c>
      <c r="V493" s="32" t="s">
        <v>316</v>
      </c>
      <c r="X493" s="32">
        <f t="shared" si="30"/>
        <v>2.0942408376963349E-3</v>
      </c>
      <c r="Y493" s="32">
        <f>(CPI!$B$112/O493)*X493</f>
        <v>2.9261588406033169E-3</v>
      </c>
      <c r="Z493" s="38" t="s">
        <v>262</v>
      </c>
      <c r="AA493" s="35" t="s">
        <v>2381</v>
      </c>
      <c r="AB493" s="32">
        <v>19.100000000000001</v>
      </c>
      <c r="AC493" s="35" t="s">
        <v>2381</v>
      </c>
      <c r="AH493" s="32" t="s">
        <v>411</v>
      </c>
      <c r="AK493" s="40" t="s">
        <v>915</v>
      </c>
      <c r="AL493" s="32">
        <v>2016</v>
      </c>
      <c r="AM493" s="32" t="s">
        <v>916</v>
      </c>
      <c r="AN493" s="32" t="s">
        <v>917</v>
      </c>
      <c r="AO493" s="38" t="s">
        <v>918</v>
      </c>
      <c r="AP493" s="35" t="s">
        <v>396</v>
      </c>
    </row>
    <row r="494" spans="1:42" x14ac:dyDescent="0.2">
      <c r="A494" s="40">
        <v>53</v>
      </c>
      <c r="B494" s="40">
        <v>493</v>
      </c>
      <c r="C494" s="40" t="s">
        <v>249</v>
      </c>
      <c r="D494" s="38" t="s">
        <v>216</v>
      </c>
      <c r="E494" s="32" t="s">
        <v>2186</v>
      </c>
      <c r="F494" s="32" t="s">
        <v>21</v>
      </c>
      <c r="G494" s="38" t="s">
        <v>163</v>
      </c>
      <c r="H494" s="32" t="s">
        <v>151</v>
      </c>
      <c r="I494" s="32" t="s">
        <v>243</v>
      </c>
      <c r="J494" s="32" t="s">
        <v>883</v>
      </c>
      <c r="K494" s="32" t="s">
        <v>129</v>
      </c>
      <c r="L494" s="32" t="s">
        <v>885</v>
      </c>
      <c r="M494" s="32" t="s">
        <v>884</v>
      </c>
      <c r="N494" s="40">
        <v>2010</v>
      </c>
      <c r="O494" s="32">
        <f>VLOOKUP(Data!N486, CPI!$A$2:$B$112, 2, 0)</f>
        <v>218.05600000000001</v>
      </c>
      <c r="P494" s="32" t="s">
        <v>238</v>
      </c>
      <c r="Q494" s="32" t="s">
        <v>239</v>
      </c>
      <c r="R494" s="32" t="s">
        <v>908</v>
      </c>
      <c r="S494" s="32">
        <v>82.7</v>
      </c>
      <c r="T494" s="32" t="s">
        <v>2376</v>
      </c>
      <c r="U494" s="32">
        <f t="shared" si="29"/>
        <v>0.13263833199679229</v>
      </c>
      <c r="V494" s="32" t="s">
        <v>316</v>
      </c>
      <c r="X494" s="32">
        <f t="shared" si="30"/>
        <v>0.13263833199679229</v>
      </c>
      <c r="Y494" s="32">
        <f>(CPI!$B$112/O494)*X494</f>
        <v>0.18532769526270171</v>
      </c>
      <c r="Z494" s="38" t="s">
        <v>262</v>
      </c>
      <c r="AA494" s="35" t="s">
        <v>2381</v>
      </c>
      <c r="AB494" s="32">
        <v>124.7</v>
      </c>
      <c r="AC494" s="35" t="s">
        <v>2381</v>
      </c>
      <c r="AH494" s="32" t="s">
        <v>411</v>
      </c>
      <c r="AK494" s="40" t="s">
        <v>915</v>
      </c>
      <c r="AL494" s="32">
        <v>2016</v>
      </c>
      <c r="AM494" s="32" t="s">
        <v>916</v>
      </c>
      <c r="AN494" s="32" t="s">
        <v>917</v>
      </c>
      <c r="AO494" s="38" t="s">
        <v>918</v>
      </c>
      <c r="AP494" s="35" t="s">
        <v>396</v>
      </c>
    </row>
    <row r="495" spans="1:42" x14ac:dyDescent="0.2">
      <c r="A495" s="40">
        <v>53</v>
      </c>
      <c r="B495" s="40">
        <v>494</v>
      </c>
      <c r="C495" s="40" t="s">
        <v>249</v>
      </c>
      <c r="D495" s="38" t="s">
        <v>216</v>
      </c>
      <c r="E495" s="32" t="s">
        <v>2183</v>
      </c>
      <c r="F495" s="32" t="s">
        <v>126</v>
      </c>
      <c r="G495" s="38" t="s">
        <v>127</v>
      </c>
      <c r="H495" s="32" t="s">
        <v>151</v>
      </c>
      <c r="I495" s="32" t="s">
        <v>243</v>
      </c>
      <c r="J495" s="32" t="s">
        <v>883</v>
      </c>
      <c r="K495" s="32" t="s">
        <v>129</v>
      </c>
      <c r="L495" s="32" t="s">
        <v>885</v>
      </c>
      <c r="M495" s="32" t="s">
        <v>884</v>
      </c>
      <c r="N495" s="40">
        <v>2010</v>
      </c>
      <c r="O495" s="32">
        <f>VLOOKUP(Data!N487, CPI!$A$2:$B$112, 2, 0)</f>
        <v>218.05600000000001</v>
      </c>
      <c r="P495" s="32" t="s">
        <v>238</v>
      </c>
      <c r="Q495" s="32" t="s">
        <v>239</v>
      </c>
      <c r="R495" s="32" t="s">
        <v>909</v>
      </c>
      <c r="S495" s="32">
        <v>2.4</v>
      </c>
      <c r="T495" s="32" t="s">
        <v>2376</v>
      </c>
      <c r="U495" s="32">
        <f t="shared" si="29"/>
        <v>3.8492381716118684E-3</v>
      </c>
      <c r="V495" s="32" t="s">
        <v>316</v>
      </c>
      <c r="X495" s="32">
        <f t="shared" si="30"/>
        <v>3.8492381716118684E-3</v>
      </c>
      <c r="Y495" s="32">
        <f>(CPI!$B$112/O495)*X495</f>
        <v>5.3783128008522878E-3</v>
      </c>
      <c r="Z495" s="38" t="s">
        <v>262</v>
      </c>
      <c r="AA495" s="35" t="s">
        <v>2381</v>
      </c>
      <c r="AB495" s="32">
        <v>124.7</v>
      </c>
      <c r="AC495" s="35" t="s">
        <v>2381</v>
      </c>
      <c r="AH495" s="32" t="s">
        <v>411</v>
      </c>
      <c r="AK495" s="40" t="s">
        <v>915</v>
      </c>
      <c r="AL495" s="32">
        <v>2016</v>
      </c>
      <c r="AM495" s="32" t="s">
        <v>916</v>
      </c>
      <c r="AN495" s="32" t="s">
        <v>917</v>
      </c>
      <c r="AO495" s="38" t="s">
        <v>918</v>
      </c>
      <c r="AP495" s="35" t="s">
        <v>396</v>
      </c>
    </row>
    <row r="496" spans="1:42" x14ac:dyDescent="0.2">
      <c r="A496" s="40">
        <v>53</v>
      </c>
      <c r="B496" s="40">
        <v>495</v>
      </c>
      <c r="C496" s="40" t="s">
        <v>249</v>
      </c>
      <c r="D496" s="38" t="s">
        <v>216</v>
      </c>
      <c r="E496" s="32" t="s">
        <v>2186</v>
      </c>
      <c r="F496" s="32" t="s">
        <v>21</v>
      </c>
      <c r="G496" s="38" t="s">
        <v>163</v>
      </c>
      <c r="H496" s="32" t="s">
        <v>151</v>
      </c>
      <c r="I496" s="32" t="s">
        <v>243</v>
      </c>
      <c r="J496" s="32" t="s">
        <v>883</v>
      </c>
      <c r="K496" s="32" t="s">
        <v>129</v>
      </c>
      <c r="L496" s="32" t="s">
        <v>885</v>
      </c>
      <c r="M496" s="32" t="s">
        <v>884</v>
      </c>
      <c r="N496" s="40">
        <v>2010</v>
      </c>
      <c r="O496" s="32">
        <f>VLOOKUP(Data!N488, CPI!$A$2:$B$112, 2, 0)</f>
        <v>218.05600000000001</v>
      </c>
      <c r="P496" s="32" t="s">
        <v>238</v>
      </c>
      <c r="Q496" s="32" t="s">
        <v>239</v>
      </c>
      <c r="R496" s="32" t="s">
        <v>910</v>
      </c>
      <c r="S496" s="32">
        <v>0.2</v>
      </c>
      <c r="T496" s="32" t="s">
        <v>2376</v>
      </c>
      <c r="U496" s="32">
        <f t="shared" si="29"/>
        <v>3.2076984763432237E-4</v>
      </c>
      <c r="V496" s="32" t="s">
        <v>316</v>
      </c>
      <c r="X496" s="32">
        <f t="shared" si="30"/>
        <v>3.2076984763432237E-4</v>
      </c>
      <c r="Y496" s="32">
        <f>(CPI!$B$112/O496)*X496</f>
        <v>4.481927334043573E-4</v>
      </c>
      <c r="Z496" s="38" t="s">
        <v>262</v>
      </c>
      <c r="AA496" s="35" t="s">
        <v>2381</v>
      </c>
      <c r="AB496" s="32">
        <v>124.7</v>
      </c>
      <c r="AC496" s="35" t="s">
        <v>2381</v>
      </c>
      <c r="AH496" s="32" t="s">
        <v>411</v>
      </c>
      <c r="AK496" s="40" t="s">
        <v>915</v>
      </c>
      <c r="AL496" s="32">
        <v>2016</v>
      </c>
      <c r="AM496" s="32" t="s">
        <v>916</v>
      </c>
      <c r="AN496" s="32" t="s">
        <v>917</v>
      </c>
      <c r="AO496" s="38" t="s">
        <v>918</v>
      </c>
      <c r="AP496" s="35" t="s">
        <v>396</v>
      </c>
    </row>
    <row r="497" spans="1:42" x14ac:dyDescent="0.2">
      <c r="A497" s="40">
        <v>53</v>
      </c>
      <c r="B497" s="40">
        <v>496</v>
      </c>
      <c r="C497" s="40" t="s">
        <v>249</v>
      </c>
      <c r="D497" s="38" t="s">
        <v>216</v>
      </c>
      <c r="E497" s="32" t="s">
        <v>2186</v>
      </c>
      <c r="F497" s="32" t="s">
        <v>21</v>
      </c>
      <c r="G497" s="38" t="s">
        <v>163</v>
      </c>
      <c r="H497" s="32" t="s">
        <v>151</v>
      </c>
      <c r="I497" s="32" t="s">
        <v>243</v>
      </c>
      <c r="J497" s="32" t="s">
        <v>883</v>
      </c>
      <c r="K497" s="32" t="s">
        <v>129</v>
      </c>
      <c r="L497" s="32" t="s">
        <v>885</v>
      </c>
      <c r="M497" s="32" t="s">
        <v>884</v>
      </c>
      <c r="N497" s="40">
        <v>2010</v>
      </c>
      <c r="O497" s="32">
        <f>VLOOKUP(Data!N489, CPI!$A$2:$B$112, 2, 0)</f>
        <v>218.05600000000001</v>
      </c>
      <c r="P497" s="32" t="s">
        <v>238</v>
      </c>
      <c r="Q497" s="32" t="s">
        <v>239</v>
      </c>
      <c r="R497" s="32" t="s">
        <v>911</v>
      </c>
      <c r="S497" s="32">
        <v>242.9</v>
      </c>
      <c r="T497" s="32" t="s">
        <v>2376</v>
      </c>
      <c r="U497" s="32">
        <f t="shared" si="29"/>
        <v>0.34699999999999998</v>
      </c>
      <c r="V497" s="32" t="s">
        <v>316</v>
      </c>
      <c r="X497" s="32">
        <f t="shared" si="30"/>
        <v>0.34699999999999998</v>
      </c>
      <c r="Y497" s="32">
        <f>(CPI!$B$112/O497)*X497</f>
        <v>0.48484257369666506</v>
      </c>
      <c r="Z497" s="38" t="s">
        <v>262</v>
      </c>
      <c r="AA497" s="35" t="s">
        <v>2381</v>
      </c>
      <c r="AB497" s="32">
        <v>140</v>
      </c>
      <c r="AC497" s="35" t="s">
        <v>2381</v>
      </c>
      <c r="AH497" s="32" t="s">
        <v>411</v>
      </c>
      <c r="AK497" s="40" t="s">
        <v>915</v>
      </c>
      <c r="AL497" s="32">
        <v>2016</v>
      </c>
      <c r="AM497" s="32" t="s">
        <v>916</v>
      </c>
      <c r="AN497" s="32" t="s">
        <v>917</v>
      </c>
      <c r="AO497" s="38" t="s">
        <v>918</v>
      </c>
      <c r="AP497" s="35" t="s">
        <v>396</v>
      </c>
    </row>
    <row r="498" spans="1:42" x14ac:dyDescent="0.2">
      <c r="A498" s="40">
        <v>53</v>
      </c>
      <c r="B498" s="40">
        <v>497</v>
      </c>
      <c r="C498" s="40" t="s">
        <v>249</v>
      </c>
      <c r="D498" s="38" t="s">
        <v>216</v>
      </c>
      <c r="E498" s="32" t="s">
        <v>2183</v>
      </c>
      <c r="F498" s="32" t="s">
        <v>126</v>
      </c>
      <c r="G498" s="38" t="s">
        <v>127</v>
      </c>
      <c r="H498" s="32" t="s">
        <v>151</v>
      </c>
      <c r="I498" s="32" t="s">
        <v>243</v>
      </c>
      <c r="J498" s="32" t="s">
        <v>883</v>
      </c>
      <c r="K498" s="32" t="s">
        <v>129</v>
      </c>
      <c r="L498" s="32" t="s">
        <v>885</v>
      </c>
      <c r="M498" s="32" t="s">
        <v>884</v>
      </c>
      <c r="N498" s="40">
        <v>2010</v>
      </c>
      <c r="O498" s="32">
        <f>VLOOKUP(Data!N490, CPI!$A$2:$B$112, 2, 0)</f>
        <v>218.05600000000001</v>
      </c>
      <c r="P498" s="32" t="s">
        <v>238</v>
      </c>
      <c r="Q498" s="32" t="s">
        <v>239</v>
      </c>
      <c r="R498" s="32" t="s">
        <v>912</v>
      </c>
      <c r="S498" s="32">
        <v>30.3</v>
      </c>
      <c r="T498" s="32" t="s">
        <v>2376</v>
      </c>
      <c r="U498" s="32">
        <f t="shared" si="29"/>
        <v>4.3285714285714288E-2</v>
      </c>
      <c r="V498" s="32" t="s">
        <v>316</v>
      </c>
      <c r="X498" s="32">
        <f t="shared" si="30"/>
        <v>4.3285714285714288E-2</v>
      </c>
      <c r="Y498" s="32">
        <f>(CPI!$B$112/O498)*X498</f>
        <v>6.0480568065084207E-2</v>
      </c>
      <c r="Z498" s="38" t="s">
        <v>262</v>
      </c>
      <c r="AA498" s="35" t="s">
        <v>2381</v>
      </c>
      <c r="AB498" s="32">
        <v>140</v>
      </c>
      <c r="AC498" s="35" t="s">
        <v>2381</v>
      </c>
      <c r="AH498" s="32" t="s">
        <v>411</v>
      </c>
      <c r="AK498" s="40" t="s">
        <v>915</v>
      </c>
      <c r="AL498" s="32">
        <v>2016</v>
      </c>
      <c r="AM498" s="32" t="s">
        <v>916</v>
      </c>
      <c r="AN498" s="32" t="s">
        <v>917</v>
      </c>
      <c r="AO498" s="38" t="s">
        <v>918</v>
      </c>
      <c r="AP498" s="35" t="s">
        <v>396</v>
      </c>
    </row>
    <row r="499" spans="1:42" x14ac:dyDescent="0.2">
      <c r="A499" s="40">
        <v>53</v>
      </c>
      <c r="B499" s="40">
        <v>498</v>
      </c>
      <c r="C499" s="40" t="s">
        <v>249</v>
      </c>
      <c r="D499" s="38" t="s">
        <v>216</v>
      </c>
      <c r="E499" s="32" t="s">
        <v>2183</v>
      </c>
      <c r="F499" s="32" t="s">
        <v>126</v>
      </c>
      <c r="G499" s="38" t="s">
        <v>60</v>
      </c>
      <c r="H499" s="32" t="s">
        <v>151</v>
      </c>
      <c r="I499" s="32" t="s">
        <v>243</v>
      </c>
      <c r="J499" s="32" t="s">
        <v>883</v>
      </c>
      <c r="K499" s="32" t="s">
        <v>129</v>
      </c>
      <c r="L499" s="32" t="s">
        <v>885</v>
      </c>
      <c r="M499" s="32" t="s">
        <v>884</v>
      </c>
      <c r="N499" s="40">
        <v>2010</v>
      </c>
      <c r="O499" s="32">
        <f>VLOOKUP(Data!N491, CPI!$A$2:$B$112, 2, 0)</f>
        <v>218.05600000000001</v>
      </c>
      <c r="P499" s="32" t="s">
        <v>238</v>
      </c>
      <c r="Q499" s="32" t="s">
        <v>239</v>
      </c>
      <c r="R499" s="32" t="s">
        <v>913</v>
      </c>
      <c r="S499" s="32">
        <v>18.7</v>
      </c>
      <c r="T499" s="32" t="s">
        <v>2376</v>
      </c>
      <c r="U499" s="32">
        <f t="shared" si="29"/>
        <v>2.6714285714285711E-2</v>
      </c>
      <c r="V499" s="32" t="s">
        <v>316</v>
      </c>
      <c r="X499" s="32">
        <f t="shared" si="30"/>
        <v>2.6714285714285711E-2</v>
      </c>
      <c r="Y499" s="32">
        <f>(CPI!$B$112/O499)*X499</f>
        <v>3.7326291182081667E-2</v>
      </c>
      <c r="Z499" s="38" t="s">
        <v>262</v>
      </c>
      <c r="AA499" s="35" t="s">
        <v>2381</v>
      </c>
      <c r="AB499" s="32">
        <v>140</v>
      </c>
      <c r="AC499" s="35" t="s">
        <v>2381</v>
      </c>
      <c r="AH499" s="32" t="s">
        <v>411</v>
      </c>
      <c r="AK499" s="40" t="s">
        <v>915</v>
      </c>
      <c r="AL499" s="32">
        <v>2016</v>
      </c>
      <c r="AM499" s="32" t="s">
        <v>916</v>
      </c>
      <c r="AN499" s="32" t="s">
        <v>917</v>
      </c>
      <c r="AO499" s="38" t="s">
        <v>918</v>
      </c>
      <c r="AP499" s="35" t="s">
        <v>396</v>
      </c>
    </row>
    <row r="500" spans="1:42" x14ac:dyDescent="0.2">
      <c r="A500" s="40">
        <v>53</v>
      </c>
      <c r="B500" s="40">
        <v>499</v>
      </c>
      <c r="C500" s="40" t="s">
        <v>249</v>
      </c>
      <c r="D500" s="38" t="s">
        <v>216</v>
      </c>
      <c r="E500" s="32" t="s">
        <v>2186</v>
      </c>
      <c r="F500" s="32" t="s">
        <v>21</v>
      </c>
      <c r="G500" s="38" t="s">
        <v>163</v>
      </c>
      <c r="H500" s="32" t="s">
        <v>151</v>
      </c>
      <c r="I500" s="32" t="s">
        <v>243</v>
      </c>
      <c r="J500" s="32" t="s">
        <v>883</v>
      </c>
      <c r="K500" s="32" t="s">
        <v>129</v>
      </c>
      <c r="L500" s="32" t="s">
        <v>885</v>
      </c>
      <c r="M500" s="32" t="s">
        <v>884</v>
      </c>
      <c r="N500" s="40">
        <v>2010</v>
      </c>
      <c r="O500" s="32">
        <f>VLOOKUP(Data!N492, CPI!$A$2:$B$112, 2, 0)</f>
        <v>218.05600000000001</v>
      </c>
      <c r="P500" s="32" t="s">
        <v>238</v>
      </c>
      <c r="Q500" s="32" t="s">
        <v>239</v>
      </c>
      <c r="R500" s="32" t="s">
        <v>914</v>
      </c>
      <c r="S500" s="32">
        <v>6.1</v>
      </c>
      <c r="T500" s="32" t="s">
        <v>2376</v>
      </c>
      <c r="U500" s="32">
        <f t="shared" si="29"/>
        <v>8.7142857142857143E-3</v>
      </c>
      <c r="V500" s="32" t="s">
        <v>316</v>
      </c>
      <c r="X500" s="32">
        <f t="shared" si="30"/>
        <v>8.7142857142857143E-3</v>
      </c>
      <c r="Y500" s="32">
        <f>(CPI!$B$112/O500)*X500</f>
        <v>1.2175955947096159E-2</v>
      </c>
      <c r="Z500" s="38" t="s">
        <v>262</v>
      </c>
      <c r="AA500" s="35" t="s">
        <v>2381</v>
      </c>
      <c r="AB500" s="32">
        <v>140</v>
      </c>
      <c r="AC500" s="35" t="s">
        <v>2381</v>
      </c>
      <c r="AH500" s="32" t="s">
        <v>411</v>
      </c>
      <c r="AK500" s="40" t="s">
        <v>915</v>
      </c>
      <c r="AL500" s="32">
        <v>2016</v>
      </c>
      <c r="AM500" s="32" t="s">
        <v>916</v>
      </c>
      <c r="AN500" s="32" t="s">
        <v>917</v>
      </c>
      <c r="AO500" s="38" t="s">
        <v>918</v>
      </c>
      <c r="AP500" s="35" t="s">
        <v>396</v>
      </c>
    </row>
    <row r="501" spans="1:42" x14ac:dyDescent="0.2">
      <c r="A501" s="40">
        <v>53</v>
      </c>
      <c r="B501" s="40">
        <v>500</v>
      </c>
      <c r="C501" s="40" t="s">
        <v>249</v>
      </c>
      <c r="D501" s="38" t="s">
        <v>216</v>
      </c>
      <c r="E501" s="32" t="s">
        <v>2186</v>
      </c>
      <c r="F501" s="32" t="s">
        <v>29</v>
      </c>
      <c r="G501" s="32" t="s">
        <v>29</v>
      </c>
      <c r="H501" s="32" t="s">
        <v>151</v>
      </c>
      <c r="I501" s="32" t="s">
        <v>243</v>
      </c>
      <c r="J501" s="32" t="s">
        <v>883</v>
      </c>
      <c r="K501" s="32" t="s">
        <v>129</v>
      </c>
      <c r="L501" s="32" t="s">
        <v>885</v>
      </c>
      <c r="M501" s="32" t="s">
        <v>884</v>
      </c>
      <c r="N501" s="40">
        <v>2010</v>
      </c>
      <c r="O501" s="32">
        <f>VLOOKUP(Data!N493, CPI!$A$2:$B$112, 2, 0)</f>
        <v>218.05600000000001</v>
      </c>
      <c r="P501" s="32" t="s">
        <v>238</v>
      </c>
      <c r="Q501" s="32" t="s">
        <v>239</v>
      </c>
      <c r="R501" s="32" t="s">
        <v>2377</v>
      </c>
      <c r="S501" s="32">
        <v>7783</v>
      </c>
      <c r="T501" s="32" t="s">
        <v>2376</v>
      </c>
      <c r="U501" s="32">
        <f t="shared" si="29"/>
        <v>47.74846625766871</v>
      </c>
      <c r="V501" s="32" t="s">
        <v>316</v>
      </c>
      <c r="X501" s="32">
        <f t="shared" si="30"/>
        <v>47.74846625766871</v>
      </c>
      <c r="Y501" s="32">
        <f>(CPI!$B$112/O501)*X501</f>
        <v>66.716107407597889</v>
      </c>
      <c r="Z501" s="38" t="s">
        <v>262</v>
      </c>
      <c r="AA501" s="35" t="s">
        <v>2381</v>
      </c>
      <c r="AB501" s="32">
        <v>32.6</v>
      </c>
      <c r="AC501" s="35" t="s">
        <v>2381</v>
      </c>
      <c r="AH501" s="32" t="s">
        <v>411</v>
      </c>
      <c r="AK501" s="40" t="s">
        <v>915</v>
      </c>
      <c r="AL501" s="32">
        <v>2016</v>
      </c>
      <c r="AM501" s="32" t="s">
        <v>916</v>
      </c>
      <c r="AN501" s="32" t="s">
        <v>917</v>
      </c>
      <c r="AO501" s="38" t="s">
        <v>918</v>
      </c>
      <c r="AP501" s="35" t="s">
        <v>396</v>
      </c>
    </row>
    <row r="502" spans="1:42" x14ac:dyDescent="0.2">
      <c r="A502" s="40">
        <v>53</v>
      </c>
      <c r="B502" s="40">
        <v>501</v>
      </c>
      <c r="C502" s="40" t="s">
        <v>249</v>
      </c>
      <c r="D502" s="38" t="s">
        <v>216</v>
      </c>
      <c r="E502" s="32" t="s">
        <v>2186</v>
      </c>
      <c r="F502" s="32" t="s">
        <v>29</v>
      </c>
      <c r="G502" s="32" t="s">
        <v>29</v>
      </c>
      <c r="H502" s="32" t="s">
        <v>151</v>
      </c>
      <c r="I502" s="32" t="s">
        <v>243</v>
      </c>
      <c r="J502" s="32" t="s">
        <v>883</v>
      </c>
      <c r="K502" s="32" t="s">
        <v>129</v>
      </c>
      <c r="L502" s="32" t="s">
        <v>885</v>
      </c>
      <c r="M502" s="32" t="s">
        <v>884</v>
      </c>
      <c r="N502" s="40">
        <v>2010</v>
      </c>
      <c r="O502" s="32">
        <f>VLOOKUP(Data!N494, CPI!$A$2:$B$112, 2, 0)</f>
        <v>218.05600000000001</v>
      </c>
      <c r="P502" s="32" t="s">
        <v>238</v>
      </c>
      <c r="Q502" s="32" t="s">
        <v>239</v>
      </c>
      <c r="R502" s="32" t="s">
        <v>2378</v>
      </c>
      <c r="S502" s="32">
        <v>7271</v>
      </c>
      <c r="T502" s="32" t="s">
        <v>2376</v>
      </c>
      <c r="U502" s="32">
        <f t="shared" si="29"/>
        <v>76.136125654450254</v>
      </c>
      <c r="V502" s="32" t="s">
        <v>316</v>
      </c>
      <c r="X502" s="32">
        <f t="shared" si="30"/>
        <v>76.136125654450254</v>
      </c>
      <c r="Y502" s="32">
        <f>(CPI!$B$112/O502)*X502</f>
        <v>106.38050465013357</v>
      </c>
      <c r="Z502" s="38" t="s">
        <v>262</v>
      </c>
      <c r="AA502" s="35" t="s">
        <v>2381</v>
      </c>
      <c r="AB502" s="32">
        <v>19.100000000000001</v>
      </c>
      <c r="AC502" s="35" t="s">
        <v>2381</v>
      </c>
      <c r="AH502" s="32" t="s">
        <v>411</v>
      </c>
      <c r="AK502" s="40" t="s">
        <v>915</v>
      </c>
      <c r="AL502" s="32">
        <v>2016</v>
      </c>
      <c r="AM502" s="32" t="s">
        <v>916</v>
      </c>
      <c r="AN502" s="32" t="s">
        <v>917</v>
      </c>
      <c r="AO502" s="38" t="s">
        <v>918</v>
      </c>
      <c r="AP502" s="35" t="s">
        <v>396</v>
      </c>
    </row>
    <row r="503" spans="1:42" x14ac:dyDescent="0.2">
      <c r="A503" s="40">
        <v>53</v>
      </c>
      <c r="B503" s="40">
        <v>502</v>
      </c>
      <c r="C503" s="40" t="s">
        <v>249</v>
      </c>
      <c r="D503" s="38" t="s">
        <v>216</v>
      </c>
      <c r="E503" s="32" t="s">
        <v>2186</v>
      </c>
      <c r="F503" s="32" t="s">
        <v>29</v>
      </c>
      <c r="G503" s="32" t="s">
        <v>29</v>
      </c>
      <c r="H503" s="32" t="s">
        <v>151</v>
      </c>
      <c r="I503" s="32" t="s">
        <v>243</v>
      </c>
      <c r="J503" s="32" t="s">
        <v>883</v>
      </c>
      <c r="K503" s="32" t="s">
        <v>129</v>
      </c>
      <c r="L503" s="32" t="s">
        <v>885</v>
      </c>
      <c r="M503" s="32" t="s">
        <v>884</v>
      </c>
      <c r="N503" s="40">
        <v>2010</v>
      </c>
      <c r="O503" s="32">
        <f>VLOOKUP(Data!N495, CPI!$A$2:$B$112, 2, 0)</f>
        <v>218.05600000000001</v>
      </c>
      <c r="P503" s="32" t="s">
        <v>238</v>
      </c>
      <c r="Q503" s="32" t="s">
        <v>239</v>
      </c>
      <c r="R503" s="32" t="s">
        <v>2379</v>
      </c>
      <c r="S503" s="32">
        <v>6879</v>
      </c>
      <c r="T503" s="32" t="s">
        <v>2376</v>
      </c>
      <c r="U503" s="32">
        <f t="shared" si="29"/>
        <v>11.032878909382518</v>
      </c>
      <c r="V503" s="32" t="s">
        <v>316</v>
      </c>
      <c r="X503" s="32">
        <f t="shared" si="30"/>
        <v>11.032878909382518</v>
      </c>
      <c r="Y503" s="32">
        <f>(CPI!$B$112/O503)*X503</f>
        <v>15.41558906544287</v>
      </c>
      <c r="Z503" s="38" t="s">
        <v>262</v>
      </c>
      <c r="AA503" s="35" t="s">
        <v>2381</v>
      </c>
      <c r="AB503" s="32">
        <v>124.7</v>
      </c>
      <c r="AC503" s="35" t="s">
        <v>2381</v>
      </c>
      <c r="AH503" s="32" t="s">
        <v>411</v>
      </c>
      <c r="AK503" s="40" t="s">
        <v>915</v>
      </c>
      <c r="AL503" s="32">
        <v>2016</v>
      </c>
      <c r="AM503" s="32" t="s">
        <v>916</v>
      </c>
      <c r="AN503" s="32" t="s">
        <v>917</v>
      </c>
      <c r="AO503" s="38" t="s">
        <v>918</v>
      </c>
      <c r="AP503" s="35" t="s">
        <v>396</v>
      </c>
    </row>
    <row r="504" spans="1:42" x14ac:dyDescent="0.2">
      <c r="A504" s="40">
        <v>53</v>
      </c>
      <c r="B504" s="40">
        <v>503</v>
      </c>
      <c r="C504" s="40" t="s">
        <v>249</v>
      </c>
      <c r="D504" s="38" t="s">
        <v>216</v>
      </c>
      <c r="E504" s="32" t="s">
        <v>2186</v>
      </c>
      <c r="F504" s="32" t="s">
        <v>29</v>
      </c>
      <c r="G504" s="38" t="s">
        <v>29</v>
      </c>
      <c r="H504" s="32" t="s">
        <v>151</v>
      </c>
      <c r="I504" s="32" t="s">
        <v>243</v>
      </c>
      <c r="J504" s="32" t="s">
        <v>883</v>
      </c>
      <c r="K504" s="32" t="s">
        <v>129</v>
      </c>
      <c r="L504" s="32" t="s">
        <v>885</v>
      </c>
      <c r="M504" s="32" t="s">
        <v>884</v>
      </c>
      <c r="N504" s="40">
        <v>2010</v>
      </c>
      <c r="O504" s="32">
        <f>VLOOKUP(Data!N496, CPI!$A$2:$B$112, 2, 0)</f>
        <v>218.05600000000001</v>
      </c>
      <c r="P504" s="32" t="s">
        <v>238</v>
      </c>
      <c r="Q504" s="32" t="s">
        <v>239</v>
      </c>
      <c r="R504" s="32" t="s">
        <v>2380</v>
      </c>
      <c r="S504" s="32">
        <v>7091</v>
      </c>
      <c r="T504" s="32" t="s">
        <v>2376</v>
      </c>
      <c r="U504" s="32">
        <f t="shared" si="29"/>
        <v>10.130000000000001</v>
      </c>
      <c r="V504" s="32" t="s">
        <v>316</v>
      </c>
      <c r="X504" s="32">
        <f t="shared" si="30"/>
        <v>10.130000000000001</v>
      </c>
      <c r="Y504" s="32">
        <f>(CPI!$B$112/O504)*X504</f>
        <v>14.154049773911291</v>
      </c>
      <c r="Z504" s="38" t="s">
        <v>262</v>
      </c>
      <c r="AA504" s="35" t="s">
        <v>2381</v>
      </c>
      <c r="AB504" s="32">
        <v>140</v>
      </c>
      <c r="AC504" s="35" t="s">
        <v>2381</v>
      </c>
      <c r="AH504" s="32" t="s">
        <v>411</v>
      </c>
      <c r="AK504" s="40" t="s">
        <v>915</v>
      </c>
      <c r="AL504" s="32">
        <v>2016</v>
      </c>
      <c r="AM504" s="32" t="s">
        <v>916</v>
      </c>
      <c r="AN504" s="32" t="s">
        <v>917</v>
      </c>
      <c r="AO504" s="38" t="s">
        <v>918</v>
      </c>
      <c r="AP504" s="35" t="s">
        <v>396</v>
      </c>
    </row>
    <row r="505" spans="1:42" x14ac:dyDescent="0.2">
      <c r="A505" s="40">
        <v>54</v>
      </c>
      <c r="B505" s="40">
        <v>504</v>
      </c>
      <c r="C505" s="40" t="s">
        <v>119</v>
      </c>
      <c r="D505" s="38" t="s">
        <v>128</v>
      </c>
      <c r="E505" s="32" t="s">
        <v>2183</v>
      </c>
      <c r="F505" s="32" t="s">
        <v>126</v>
      </c>
      <c r="G505" s="38" t="s">
        <v>153</v>
      </c>
      <c r="H505" s="32" t="s">
        <v>115</v>
      </c>
      <c r="I505" s="32" t="s">
        <v>231</v>
      </c>
      <c r="J505" s="32" t="s">
        <v>919</v>
      </c>
      <c r="K505" s="32" t="s">
        <v>129</v>
      </c>
      <c r="L505" s="32" t="s">
        <v>30</v>
      </c>
      <c r="M505" s="32" t="s">
        <v>30</v>
      </c>
      <c r="N505" s="40">
        <v>2017</v>
      </c>
      <c r="O505" s="32">
        <f>VLOOKUP(Data!N1397, CPI!$A$2:$B$112, 2, 0)</f>
        <v>207.3</v>
      </c>
      <c r="P505" s="32" t="s">
        <v>238</v>
      </c>
      <c r="Q505" s="32" t="s">
        <v>239</v>
      </c>
      <c r="R505" s="32" t="s">
        <v>920</v>
      </c>
      <c r="S505" s="32">
        <v>9.02</v>
      </c>
      <c r="T505" s="32" t="s">
        <v>921</v>
      </c>
      <c r="Z505" s="38" t="s">
        <v>303</v>
      </c>
      <c r="AA505" s="35" t="s">
        <v>1445</v>
      </c>
      <c r="AB505" s="32" t="s">
        <v>30</v>
      </c>
      <c r="AH505" s="32" t="s">
        <v>397</v>
      </c>
      <c r="AI505" s="32" t="s">
        <v>2268</v>
      </c>
      <c r="AK505" s="40" t="s">
        <v>923</v>
      </c>
      <c r="AL505" s="32">
        <v>2018</v>
      </c>
      <c r="AM505" s="32" t="s">
        <v>924</v>
      </c>
      <c r="AN505" s="32" t="s">
        <v>925</v>
      </c>
      <c r="AO505" s="38" t="s">
        <v>926</v>
      </c>
      <c r="AP505" s="35" t="s">
        <v>396</v>
      </c>
    </row>
    <row r="506" spans="1:42" x14ac:dyDescent="0.2">
      <c r="A506" s="40">
        <v>54</v>
      </c>
      <c r="B506" s="40">
        <v>505</v>
      </c>
      <c r="C506" s="40" t="s">
        <v>119</v>
      </c>
      <c r="D506" s="38" t="s">
        <v>128</v>
      </c>
      <c r="E506" s="32" t="s">
        <v>2183</v>
      </c>
      <c r="F506" s="32" t="s">
        <v>126</v>
      </c>
      <c r="G506" s="38" t="s">
        <v>153</v>
      </c>
      <c r="H506" s="32" t="s">
        <v>115</v>
      </c>
      <c r="I506" s="32" t="s">
        <v>231</v>
      </c>
      <c r="J506" s="32" t="s">
        <v>919</v>
      </c>
      <c r="K506" s="32" t="s">
        <v>129</v>
      </c>
      <c r="L506" s="32" t="s">
        <v>30</v>
      </c>
      <c r="M506" s="32" t="s">
        <v>30</v>
      </c>
      <c r="N506" s="40">
        <v>2017</v>
      </c>
      <c r="O506" s="32">
        <f>VLOOKUP(Data!N1398, CPI!$A$2:$B$112, 2, 0)</f>
        <v>207.3</v>
      </c>
      <c r="P506" s="32" t="s">
        <v>238</v>
      </c>
      <c r="Q506" s="32" t="s">
        <v>239</v>
      </c>
      <c r="R506" s="32" t="s">
        <v>922</v>
      </c>
      <c r="S506" s="32">
        <v>22.33</v>
      </c>
      <c r="T506" s="32" t="s">
        <v>921</v>
      </c>
      <c r="Z506" s="38" t="s">
        <v>303</v>
      </c>
      <c r="AA506" s="35" t="s">
        <v>1445</v>
      </c>
      <c r="AB506" s="32" t="s">
        <v>30</v>
      </c>
      <c r="AH506" s="32" t="s">
        <v>397</v>
      </c>
      <c r="AI506" s="32" t="s">
        <v>2268</v>
      </c>
      <c r="AK506" s="40" t="s">
        <v>923</v>
      </c>
      <c r="AL506" s="32">
        <v>2018</v>
      </c>
      <c r="AM506" s="32" t="s">
        <v>924</v>
      </c>
      <c r="AN506" s="32" t="s">
        <v>925</v>
      </c>
      <c r="AO506" s="38" t="s">
        <v>926</v>
      </c>
      <c r="AP506" s="35" t="s">
        <v>396</v>
      </c>
    </row>
    <row r="507" spans="1:42" x14ac:dyDescent="0.2">
      <c r="A507" s="40">
        <v>55</v>
      </c>
      <c r="B507" s="40">
        <v>506</v>
      </c>
      <c r="C507" s="40" t="s">
        <v>119</v>
      </c>
      <c r="D507" s="38" t="s">
        <v>128</v>
      </c>
      <c r="E507" s="32" t="s">
        <v>2183</v>
      </c>
      <c r="F507" s="32" t="s">
        <v>237</v>
      </c>
      <c r="G507" s="38" t="s">
        <v>117</v>
      </c>
      <c r="H507" s="32" t="s">
        <v>242</v>
      </c>
      <c r="I507" s="32" t="s">
        <v>61</v>
      </c>
      <c r="J507" s="32" t="s">
        <v>927</v>
      </c>
      <c r="K507" s="32" t="s">
        <v>129</v>
      </c>
      <c r="L507" s="32" t="s">
        <v>30</v>
      </c>
      <c r="M507" s="32" t="s">
        <v>30</v>
      </c>
      <c r="N507" s="40">
        <v>2015</v>
      </c>
      <c r="O507" s="32">
        <f>VLOOKUP(Data!N497, CPI!$A$2:$B$112, 2, 0)</f>
        <v>218.05600000000001</v>
      </c>
      <c r="P507" s="32" t="s">
        <v>7</v>
      </c>
      <c r="Q507" s="32" t="s">
        <v>239</v>
      </c>
      <c r="R507" s="32" t="s">
        <v>928</v>
      </c>
      <c r="S507" s="32">
        <v>81.89</v>
      </c>
      <c r="T507" s="32" t="s">
        <v>362</v>
      </c>
      <c r="U507" s="32">
        <f t="shared" ref="U507:U534" si="31">(S507*AE507)/AB507</f>
        <v>0.20199377861508469</v>
      </c>
      <c r="V507" s="32" t="s">
        <v>316</v>
      </c>
      <c r="X507" s="32">
        <f t="shared" ref="X507:X512" si="32">U507</f>
        <v>0.20199377861508469</v>
      </c>
      <c r="Y507" s="32">
        <f>(CPI!$B$112/O507)*X507</f>
        <v>0.28223395819726815</v>
      </c>
      <c r="Z507" s="38" t="s">
        <v>262</v>
      </c>
      <c r="AA507" s="35" t="s">
        <v>1464</v>
      </c>
      <c r="AB507" s="32">
        <f>(1146.4+3418.5)*100</f>
        <v>456489.99999999994</v>
      </c>
      <c r="AC507" s="43" t="s">
        <v>2266</v>
      </c>
      <c r="AE507" s="32">
        <v>1126</v>
      </c>
      <c r="AF507" s="32" t="s">
        <v>2383</v>
      </c>
      <c r="AH507" s="32" t="s">
        <v>411</v>
      </c>
      <c r="AJ507" s="36" t="s">
        <v>2384</v>
      </c>
      <c r="AK507" s="40" t="s">
        <v>929</v>
      </c>
      <c r="AL507" s="32">
        <v>2018</v>
      </c>
      <c r="AM507" s="32" t="s">
        <v>930</v>
      </c>
      <c r="AN507" s="32" t="s">
        <v>931</v>
      </c>
      <c r="AO507" s="38" t="s">
        <v>932</v>
      </c>
      <c r="AP507" s="35" t="s">
        <v>396</v>
      </c>
    </row>
    <row r="508" spans="1:42" x14ac:dyDescent="0.2">
      <c r="A508" s="40">
        <v>55</v>
      </c>
      <c r="B508" s="40">
        <v>507</v>
      </c>
      <c r="C508" s="40" t="s">
        <v>119</v>
      </c>
      <c r="D508" s="38" t="s">
        <v>128</v>
      </c>
      <c r="E508" s="32" t="s">
        <v>2183</v>
      </c>
      <c r="F508" s="32" t="s">
        <v>237</v>
      </c>
      <c r="G508" s="38" t="s">
        <v>117</v>
      </c>
      <c r="H508" s="32" t="s">
        <v>242</v>
      </c>
      <c r="I508" s="32" t="s">
        <v>61</v>
      </c>
      <c r="J508" s="32" t="s">
        <v>927</v>
      </c>
      <c r="K508" s="32" t="s">
        <v>129</v>
      </c>
      <c r="L508" s="32" t="s">
        <v>30</v>
      </c>
      <c r="M508" s="32" t="s">
        <v>30</v>
      </c>
      <c r="N508" s="40">
        <v>2008</v>
      </c>
      <c r="O508" s="32">
        <f>VLOOKUP(Data!N498, CPI!$A$2:$B$112, 2, 0)</f>
        <v>218.05600000000001</v>
      </c>
      <c r="P508" s="32" t="s">
        <v>7</v>
      </c>
      <c r="Q508" s="32" t="s">
        <v>239</v>
      </c>
      <c r="R508" s="32" t="s">
        <v>928</v>
      </c>
      <c r="S508" s="32">
        <v>20.47</v>
      </c>
      <c r="T508" s="32" t="s">
        <v>362</v>
      </c>
      <c r="U508" s="32">
        <f t="shared" si="31"/>
        <v>5.0492278034568121E-2</v>
      </c>
      <c r="V508" s="32" t="s">
        <v>316</v>
      </c>
      <c r="X508" s="32">
        <f t="shared" si="32"/>
        <v>5.0492278034568121E-2</v>
      </c>
      <c r="Y508" s="32">
        <f>(CPI!$B$112/O508)*X508</f>
        <v>7.0549873297082413E-2</v>
      </c>
      <c r="Z508" s="38" t="s">
        <v>262</v>
      </c>
      <c r="AA508" s="35" t="s">
        <v>1464</v>
      </c>
      <c r="AB508" s="32">
        <f>(1146.4+3418.5)*100</f>
        <v>456489.99999999994</v>
      </c>
      <c r="AC508" s="43" t="s">
        <v>2266</v>
      </c>
      <c r="AE508" s="32">
        <v>1126</v>
      </c>
      <c r="AF508" s="32" t="s">
        <v>2383</v>
      </c>
      <c r="AH508" s="32" t="s">
        <v>411</v>
      </c>
      <c r="AJ508" s="36" t="s">
        <v>2384</v>
      </c>
      <c r="AK508" s="40" t="s">
        <v>929</v>
      </c>
      <c r="AL508" s="32">
        <v>2018</v>
      </c>
      <c r="AM508" s="32" t="s">
        <v>930</v>
      </c>
      <c r="AN508" s="32" t="s">
        <v>931</v>
      </c>
      <c r="AO508" s="38" t="s">
        <v>932</v>
      </c>
      <c r="AP508" s="35" t="s">
        <v>396</v>
      </c>
    </row>
    <row r="509" spans="1:42" x14ac:dyDescent="0.2">
      <c r="A509" s="40">
        <v>56</v>
      </c>
      <c r="B509" s="40">
        <v>508</v>
      </c>
      <c r="C509" s="40" t="s">
        <v>241</v>
      </c>
      <c r="D509" s="38" t="s">
        <v>241</v>
      </c>
      <c r="E509" s="32" t="s">
        <v>2183</v>
      </c>
      <c r="F509" s="32" t="s">
        <v>126</v>
      </c>
      <c r="G509" s="38" t="s">
        <v>934</v>
      </c>
      <c r="H509" s="32" t="s">
        <v>151</v>
      </c>
      <c r="I509" s="32" t="s">
        <v>243</v>
      </c>
      <c r="J509" s="32" t="s">
        <v>933</v>
      </c>
      <c r="K509" s="32" t="s">
        <v>129</v>
      </c>
      <c r="L509" s="32" t="s">
        <v>30</v>
      </c>
      <c r="M509" s="32" t="s">
        <v>30</v>
      </c>
      <c r="N509" s="40">
        <v>2018</v>
      </c>
      <c r="O509" s="32">
        <f>VLOOKUP(Data!N499, CPI!$A$2:$B$112, 2, 0)</f>
        <v>218.05600000000001</v>
      </c>
      <c r="P509" s="32" t="s">
        <v>7</v>
      </c>
      <c r="Q509" s="32" t="s">
        <v>239</v>
      </c>
      <c r="R509" s="32" t="s">
        <v>2386</v>
      </c>
      <c r="S509" s="32">
        <v>604.44000000000005</v>
      </c>
      <c r="T509" s="32" t="s">
        <v>2388</v>
      </c>
      <c r="U509" s="32">
        <f t="shared" si="31"/>
        <v>33231.141461581821</v>
      </c>
      <c r="V509" s="32" t="s">
        <v>316</v>
      </c>
      <c r="X509" s="32">
        <f t="shared" si="32"/>
        <v>33231.141461581821</v>
      </c>
      <c r="Y509" s="32">
        <f>(CPI!$B$112/O509)*X509</f>
        <v>46431.90822222273</v>
      </c>
      <c r="Z509" s="38" t="s">
        <v>262</v>
      </c>
      <c r="AA509" s="35" t="s">
        <v>1447</v>
      </c>
      <c r="AB509" s="32">
        <v>532.29999999999995</v>
      </c>
      <c r="AE509" s="62">
        <v>29265</v>
      </c>
      <c r="AF509" s="44" t="s">
        <v>2389</v>
      </c>
      <c r="AG509" s="44"/>
      <c r="AH509" s="32" t="s">
        <v>411</v>
      </c>
      <c r="AK509" s="40" t="s">
        <v>935</v>
      </c>
      <c r="AL509" s="32">
        <v>2021</v>
      </c>
      <c r="AM509" s="32" t="s">
        <v>936</v>
      </c>
      <c r="AN509" s="32" t="s">
        <v>937</v>
      </c>
      <c r="AO509" s="38" t="s">
        <v>938</v>
      </c>
      <c r="AP509" s="35" t="s">
        <v>396</v>
      </c>
    </row>
    <row r="510" spans="1:42" x14ac:dyDescent="0.2">
      <c r="A510" s="40">
        <v>56</v>
      </c>
      <c r="B510" s="40">
        <v>509</v>
      </c>
      <c r="C510" s="40" t="s">
        <v>241</v>
      </c>
      <c r="D510" s="38" t="s">
        <v>241</v>
      </c>
      <c r="E510" s="32" t="s">
        <v>2183</v>
      </c>
      <c r="F510" s="32" t="s">
        <v>126</v>
      </c>
      <c r="G510" s="38" t="s">
        <v>934</v>
      </c>
      <c r="H510" s="32" t="s">
        <v>151</v>
      </c>
      <c r="I510" s="32" t="s">
        <v>243</v>
      </c>
      <c r="J510" s="32" t="s">
        <v>2385</v>
      </c>
      <c r="K510" s="32" t="s">
        <v>129</v>
      </c>
      <c r="L510" s="32" t="s">
        <v>30</v>
      </c>
      <c r="M510" s="32" t="s">
        <v>30</v>
      </c>
      <c r="N510" s="40">
        <v>2018</v>
      </c>
      <c r="O510" s="32">
        <f>VLOOKUP(Data!N500, CPI!$A$2:$B$112, 2, 0)</f>
        <v>218.05600000000001</v>
      </c>
      <c r="P510" s="32" t="s">
        <v>7</v>
      </c>
      <c r="Q510" s="32" t="s">
        <v>239</v>
      </c>
      <c r="R510" s="32" t="s">
        <v>2386</v>
      </c>
      <c r="S510" s="32">
        <v>601.30999999999995</v>
      </c>
      <c r="T510" s="32" t="s">
        <v>2388</v>
      </c>
      <c r="U510" s="32">
        <f t="shared" si="31"/>
        <v>148174.39430835732</v>
      </c>
      <c r="V510" s="32" t="s">
        <v>316</v>
      </c>
      <c r="X510" s="32">
        <f t="shared" si="32"/>
        <v>148174.39430835732</v>
      </c>
      <c r="Y510" s="32">
        <f>(CPI!$B$112/O510)*X510</f>
        <v>207035.31611645088</v>
      </c>
      <c r="Z510" s="38" t="s">
        <v>262</v>
      </c>
      <c r="AA510" s="35" t="s">
        <v>1447</v>
      </c>
      <c r="AB510" s="32">
        <v>138.80000000000001</v>
      </c>
      <c r="AE510" s="62">
        <v>34203</v>
      </c>
      <c r="AF510" s="44" t="s">
        <v>2390</v>
      </c>
      <c r="AG510" s="44"/>
      <c r="AH510" s="32" t="s">
        <v>411</v>
      </c>
      <c r="AK510" s="40" t="s">
        <v>935</v>
      </c>
      <c r="AL510" s="32">
        <v>2021</v>
      </c>
      <c r="AM510" s="32" t="s">
        <v>936</v>
      </c>
      <c r="AN510" s="32" t="s">
        <v>937</v>
      </c>
      <c r="AO510" s="38" t="s">
        <v>938</v>
      </c>
      <c r="AP510" s="35" t="s">
        <v>396</v>
      </c>
    </row>
    <row r="511" spans="1:42" x14ac:dyDescent="0.2">
      <c r="A511" s="40">
        <v>56</v>
      </c>
      <c r="B511" s="40">
        <v>510</v>
      </c>
      <c r="C511" s="40" t="s">
        <v>241</v>
      </c>
      <c r="D511" s="38" t="s">
        <v>241</v>
      </c>
      <c r="E511" s="32" t="s">
        <v>2183</v>
      </c>
      <c r="F511" s="32" t="s">
        <v>126</v>
      </c>
      <c r="G511" s="38" t="s">
        <v>934</v>
      </c>
      <c r="H511" s="32" t="s">
        <v>151</v>
      </c>
      <c r="I511" s="32" t="s">
        <v>243</v>
      </c>
      <c r="J511" s="32" t="s">
        <v>933</v>
      </c>
      <c r="K511" s="32" t="s">
        <v>129</v>
      </c>
      <c r="L511" s="32" t="s">
        <v>30</v>
      </c>
      <c r="M511" s="32" t="s">
        <v>30</v>
      </c>
      <c r="N511" s="40">
        <v>2018</v>
      </c>
      <c r="O511" s="32">
        <f>VLOOKUP(Data!N501, CPI!$A$2:$B$112, 2, 0)</f>
        <v>218.05600000000001</v>
      </c>
      <c r="P511" s="32" t="s">
        <v>7</v>
      </c>
      <c r="Q511" s="32" t="s">
        <v>239</v>
      </c>
      <c r="R511" s="32" t="s">
        <v>2387</v>
      </c>
      <c r="S511" s="32">
        <v>440.74</v>
      </c>
      <c r="T511" s="32" t="s">
        <v>2388</v>
      </c>
      <c r="U511" s="32">
        <f t="shared" si="31"/>
        <v>24231.178095059178</v>
      </c>
      <c r="V511" s="32" t="s">
        <v>316</v>
      </c>
      <c r="X511" s="32">
        <f t="shared" si="32"/>
        <v>24231.178095059178</v>
      </c>
      <c r="Y511" s="32">
        <f>(CPI!$B$112/O511)*X511</f>
        <v>33856.791790520881</v>
      </c>
      <c r="Z511" s="38" t="s">
        <v>262</v>
      </c>
      <c r="AA511" s="35" t="s">
        <v>1447</v>
      </c>
      <c r="AB511" s="32">
        <v>532.29999999999995</v>
      </c>
      <c r="AE511" s="62">
        <v>29265</v>
      </c>
      <c r="AF511" s="44" t="s">
        <v>2389</v>
      </c>
      <c r="AG511" s="44"/>
      <c r="AH511" s="32" t="s">
        <v>411</v>
      </c>
      <c r="AK511" s="40" t="s">
        <v>935</v>
      </c>
      <c r="AL511" s="32">
        <v>2021</v>
      </c>
      <c r="AM511" s="32" t="s">
        <v>936</v>
      </c>
      <c r="AN511" s="32" t="s">
        <v>937</v>
      </c>
      <c r="AO511" s="38" t="s">
        <v>938</v>
      </c>
      <c r="AP511" s="35" t="s">
        <v>396</v>
      </c>
    </row>
    <row r="512" spans="1:42" x14ac:dyDescent="0.2">
      <c r="A512" s="40">
        <v>56</v>
      </c>
      <c r="B512" s="40">
        <v>511</v>
      </c>
      <c r="C512" s="40" t="s">
        <v>241</v>
      </c>
      <c r="D512" s="38" t="s">
        <v>241</v>
      </c>
      <c r="E512" s="32" t="s">
        <v>2183</v>
      </c>
      <c r="F512" s="32" t="s">
        <v>126</v>
      </c>
      <c r="G512" s="38" t="s">
        <v>934</v>
      </c>
      <c r="H512" s="32" t="s">
        <v>151</v>
      </c>
      <c r="I512" s="32" t="s">
        <v>243</v>
      </c>
      <c r="J512" s="32" t="s">
        <v>2385</v>
      </c>
      <c r="K512" s="32" t="s">
        <v>129</v>
      </c>
      <c r="L512" s="32" t="s">
        <v>30</v>
      </c>
      <c r="M512" s="32" t="s">
        <v>30</v>
      </c>
      <c r="N512" s="40">
        <v>2018</v>
      </c>
      <c r="O512" s="32">
        <f>VLOOKUP(Data!N502, CPI!$A$2:$B$112, 2, 0)</f>
        <v>218.05600000000001</v>
      </c>
      <c r="P512" s="32" t="s">
        <v>7</v>
      </c>
      <c r="Q512" s="32" t="s">
        <v>239</v>
      </c>
      <c r="R512" s="32" t="s">
        <v>2387</v>
      </c>
      <c r="S512" s="32">
        <v>372.35</v>
      </c>
      <c r="T512" s="32" t="s">
        <v>2388</v>
      </c>
      <c r="U512" s="32">
        <f t="shared" si="31"/>
        <v>91754.229466858786</v>
      </c>
      <c r="V512" s="32" t="s">
        <v>316</v>
      </c>
      <c r="X512" s="32">
        <f t="shared" si="32"/>
        <v>91754.229466858786</v>
      </c>
      <c r="Y512" s="32">
        <f>(CPI!$B$112/O512)*X512</f>
        <v>128202.75723996024</v>
      </c>
      <c r="Z512" s="38" t="s">
        <v>262</v>
      </c>
      <c r="AA512" s="35" t="s">
        <v>1447</v>
      </c>
      <c r="AB512" s="32">
        <v>138.80000000000001</v>
      </c>
      <c r="AE512" s="62">
        <v>34203</v>
      </c>
      <c r="AF512" s="44" t="s">
        <v>2390</v>
      </c>
      <c r="AG512" s="44"/>
      <c r="AH512" s="32" t="s">
        <v>411</v>
      </c>
      <c r="AK512" s="40" t="s">
        <v>935</v>
      </c>
      <c r="AL512" s="32">
        <v>2021</v>
      </c>
      <c r="AM512" s="32" t="s">
        <v>936</v>
      </c>
      <c r="AN512" s="32" t="s">
        <v>937</v>
      </c>
      <c r="AO512" s="38" t="s">
        <v>938</v>
      </c>
      <c r="AP512" s="35" t="s">
        <v>396</v>
      </c>
    </row>
    <row r="513" spans="1:42" x14ac:dyDescent="0.2">
      <c r="A513" s="40">
        <v>57</v>
      </c>
      <c r="B513" s="40">
        <v>512</v>
      </c>
      <c r="C513" s="40" t="s">
        <v>119</v>
      </c>
      <c r="D513" s="38" t="s">
        <v>128</v>
      </c>
      <c r="E513" s="32" t="s">
        <v>2183</v>
      </c>
      <c r="F513" s="32" t="s">
        <v>140</v>
      </c>
      <c r="G513" s="38" t="s">
        <v>2160</v>
      </c>
      <c r="H513" s="32" t="s">
        <v>151</v>
      </c>
      <c r="I513" s="32" t="s">
        <v>243</v>
      </c>
      <c r="J513" s="32" t="s">
        <v>949</v>
      </c>
      <c r="K513" s="32" t="s">
        <v>129</v>
      </c>
      <c r="L513" s="32" t="s">
        <v>951</v>
      </c>
      <c r="M513" s="32" t="s">
        <v>952</v>
      </c>
      <c r="N513" s="40">
        <v>2007</v>
      </c>
      <c r="O513" s="32">
        <f>VLOOKUP(Data!N51, CPI!$A$2:$B$112, 2, 0)</f>
        <v>224.93899999999999</v>
      </c>
      <c r="P513" s="32" t="s">
        <v>21</v>
      </c>
      <c r="Q513" s="32" t="s">
        <v>239</v>
      </c>
      <c r="R513" s="32" t="s">
        <v>939</v>
      </c>
      <c r="S513" s="32">
        <v>2624.84</v>
      </c>
      <c r="T513" s="32" t="s">
        <v>307</v>
      </c>
      <c r="U513" s="32">
        <f t="shared" si="31"/>
        <v>112.27927756653993</v>
      </c>
      <c r="V513" s="32" t="s">
        <v>2211</v>
      </c>
      <c r="W513" s="32">
        <f>VLOOKUP(N513, 'Exchange rate-Kenya'!$A$3:$B$65, 2, 0)</f>
        <v>67.317638124285693</v>
      </c>
      <c r="X513" s="32">
        <f t="shared" ref="X513:X534" si="33">U513/W513</f>
        <v>1.6679028066796324</v>
      </c>
      <c r="Y513" s="32">
        <f>(CPI!$B$112/O513)*X513</f>
        <v>2.2591511763412693</v>
      </c>
      <c r="Z513" s="38" t="s">
        <v>303</v>
      </c>
      <c r="AA513" s="35" t="s">
        <v>1412</v>
      </c>
      <c r="AB513" s="32">
        <v>2104</v>
      </c>
      <c r="AC513" s="32" t="s">
        <v>2392</v>
      </c>
      <c r="AE513" s="32">
        <v>90</v>
      </c>
      <c r="AF513" s="32" t="s">
        <v>2393</v>
      </c>
      <c r="AG513">
        <v>17065.083333333299</v>
      </c>
      <c r="AH513" s="32" t="s">
        <v>411</v>
      </c>
      <c r="AI513" s="32" t="s">
        <v>2395</v>
      </c>
      <c r="AJ513" s="36" t="s">
        <v>2394</v>
      </c>
      <c r="AK513" s="40" t="s">
        <v>953</v>
      </c>
      <c r="AL513" s="32">
        <v>2011</v>
      </c>
      <c r="AM513" s="32" t="s">
        <v>954</v>
      </c>
      <c r="AN513" s="32" t="s">
        <v>956</v>
      </c>
      <c r="AO513" s="38" t="s">
        <v>955</v>
      </c>
      <c r="AP513" s="35" t="s">
        <v>396</v>
      </c>
    </row>
    <row r="514" spans="1:42" x14ac:dyDescent="0.2">
      <c r="A514" s="40">
        <v>57</v>
      </c>
      <c r="B514" s="40">
        <v>513</v>
      </c>
      <c r="C514" s="40" t="s">
        <v>119</v>
      </c>
      <c r="D514" s="38" t="s">
        <v>128</v>
      </c>
      <c r="E514" s="32" t="s">
        <v>2183</v>
      </c>
      <c r="F514" s="32" t="s">
        <v>126</v>
      </c>
      <c r="G514" s="38" t="s">
        <v>2910</v>
      </c>
      <c r="H514" s="32" t="s">
        <v>151</v>
      </c>
      <c r="I514" s="32" t="s">
        <v>243</v>
      </c>
      <c r="J514" s="32" t="s">
        <v>949</v>
      </c>
      <c r="K514" s="32" t="s">
        <v>129</v>
      </c>
      <c r="L514" s="32" t="s">
        <v>951</v>
      </c>
      <c r="M514" s="32" t="s">
        <v>952</v>
      </c>
      <c r="N514" s="40">
        <v>2007</v>
      </c>
      <c r="O514" s="32">
        <f>VLOOKUP(Data!N52, CPI!$A$2:$B$112, 2, 0)</f>
        <v>224.93899999999999</v>
      </c>
      <c r="P514" s="32" t="s">
        <v>21</v>
      </c>
      <c r="Q514" s="32" t="s">
        <v>239</v>
      </c>
      <c r="R514" s="32" t="s">
        <v>940</v>
      </c>
      <c r="S514" s="32">
        <v>1968.63</v>
      </c>
      <c r="T514" s="32" t="s">
        <v>307</v>
      </c>
      <c r="U514" s="32">
        <f t="shared" si="31"/>
        <v>84.209458174904952</v>
      </c>
      <c r="V514" s="32" t="s">
        <v>2211</v>
      </c>
      <c r="W514" s="32">
        <f>VLOOKUP(N514, 'Exchange rate-Kenya'!$A$3:$B$65, 2, 0)</f>
        <v>67.317638124285693</v>
      </c>
      <c r="X514" s="32">
        <f t="shared" si="33"/>
        <v>1.2509271050097244</v>
      </c>
      <c r="Y514" s="32">
        <f>(CPI!$B$112/O514)*X514</f>
        <v>1.6943633822559518</v>
      </c>
      <c r="Z514" s="38" t="s">
        <v>303</v>
      </c>
      <c r="AA514" s="35" t="s">
        <v>1412</v>
      </c>
      <c r="AB514" s="32">
        <v>2104</v>
      </c>
      <c r="AC514" s="32" t="s">
        <v>2392</v>
      </c>
      <c r="AE514" s="32">
        <v>90</v>
      </c>
      <c r="AF514" s="32" t="s">
        <v>2393</v>
      </c>
      <c r="AG514">
        <v>18612.916666666701</v>
      </c>
      <c r="AH514" s="32" t="s">
        <v>411</v>
      </c>
      <c r="AI514" s="32" t="s">
        <v>2395</v>
      </c>
      <c r="AJ514" s="36" t="s">
        <v>2394</v>
      </c>
      <c r="AK514" s="40" t="s">
        <v>953</v>
      </c>
      <c r="AL514" s="32">
        <v>2011</v>
      </c>
      <c r="AM514" s="32" t="s">
        <v>954</v>
      </c>
      <c r="AN514" s="32" t="s">
        <v>956</v>
      </c>
      <c r="AO514" s="38" t="s">
        <v>955</v>
      </c>
      <c r="AP514" s="35" t="s">
        <v>396</v>
      </c>
    </row>
    <row r="515" spans="1:42" x14ac:dyDescent="0.2">
      <c r="A515" s="40">
        <v>57</v>
      </c>
      <c r="B515" s="40">
        <v>514</v>
      </c>
      <c r="C515" s="40" t="s">
        <v>119</v>
      </c>
      <c r="D515" s="38" t="s">
        <v>128</v>
      </c>
      <c r="E515" s="32" t="s">
        <v>2183</v>
      </c>
      <c r="F515" s="32" t="s">
        <v>126</v>
      </c>
      <c r="G515" s="38" t="s">
        <v>153</v>
      </c>
      <c r="H515" s="32" t="s">
        <v>151</v>
      </c>
      <c r="I515" s="32" t="s">
        <v>243</v>
      </c>
      <c r="J515" s="32" t="s">
        <v>949</v>
      </c>
      <c r="K515" s="32" t="s">
        <v>129</v>
      </c>
      <c r="L515" s="32" t="s">
        <v>951</v>
      </c>
      <c r="M515" s="32" t="s">
        <v>952</v>
      </c>
      <c r="N515" s="40">
        <v>2007</v>
      </c>
      <c r="O515" s="32">
        <f>VLOOKUP(Data!N53, CPI!$A$2:$B$112, 2, 0)</f>
        <v>224.93899999999999</v>
      </c>
      <c r="P515" s="32" t="s">
        <v>21</v>
      </c>
      <c r="Q515" s="32" t="s">
        <v>239</v>
      </c>
      <c r="R515" s="32" t="s">
        <v>941</v>
      </c>
      <c r="S515" s="32">
        <v>2427.9699999999998</v>
      </c>
      <c r="T515" s="32" t="s">
        <v>307</v>
      </c>
      <c r="U515" s="32">
        <f t="shared" si="31"/>
        <v>103.85803231939163</v>
      </c>
      <c r="V515" s="32" t="s">
        <v>2211</v>
      </c>
      <c r="W515" s="32">
        <f>VLOOKUP(N515, 'Exchange rate-Kenya'!$A$3:$B$65, 2, 0)</f>
        <v>67.317638124285693</v>
      </c>
      <c r="X515" s="32">
        <f t="shared" si="33"/>
        <v>1.5428056481667249</v>
      </c>
      <c r="Y515" s="32">
        <f>(CPI!$B$112/O515)*X515</f>
        <v>2.0897088133453123</v>
      </c>
      <c r="Z515" s="38" t="s">
        <v>303</v>
      </c>
      <c r="AA515" s="35" t="s">
        <v>1412</v>
      </c>
      <c r="AB515" s="32">
        <v>2104</v>
      </c>
      <c r="AC515" s="32" t="s">
        <v>2392</v>
      </c>
      <c r="AE515" s="32">
        <v>90</v>
      </c>
      <c r="AF515" s="32" t="s">
        <v>2393</v>
      </c>
      <c r="AG515">
        <v>20509.75</v>
      </c>
      <c r="AH515" s="32" t="s">
        <v>411</v>
      </c>
      <c r="AI515" s="32" t="s">
        <v>2395</v>
      </c>
      <c r="AJ515" s="36" t="s">
        <v>2394</v>
      </c>
      <c r="AK515" s="40" t="s">
        <v>953</v>
      </c>
      <c r="AL515" s="32">
        <v>2011</v>
      </c>
      <c r="AM515" s="32" t="s">
        <v>954</v>
      </c>
      <c r="AN515" s="32" t="s">
        <v>956</v>
      </c>
      <c r="AO515" s="38" t="s">
        <v>955</v>
      </c>
      <c r="AP515" s="35" t="s">
        <v>396</v>
      </c>
    </row>
    <row r="516" spans="1:42" x14ac:dyDescent="0.2">
      <c r="A516" s="40">
        <v>57</v>
      </c>
      <c r="B516" s="40">
        <v>515</v>
      </c>
      <c r="C516" s="40" t="s">
        <v>119</v>
      </c>
      <c r="D516" s="38" t="s">
        <v>128</v>
      </c>
      <c r="E516" s="32" t="s">
        <v>2183</v>
      </c>
      <c r="F516" s="32" t="s">
        <v>237</v>
      </c>
      <c r="G516" s="38" t="s">
        <v>117</v>
      </c>
      <c r="H516" s="32" t="s">
        <v>151</v>
      </c>
      <c r="I516" s="32" t="s">
        <v>243</v>
      </c>
      <c r="J516" s="32" t="s">
        <v>949</v>
      </c>
      <c r="K516" s="32" t="s">
        <v>129</v>
      </c>
      <c r="L516" s="32" t="s">
        <v>951</v>
      </c>
      <c r="M516" s="32" t="s">
        <v>952</v>
      </c>
      <c r="N516" s="40">
        <v>2007</v>
      </c>
      <c r="O516" s="32">
        <f>VLOOKUP(Data!N54, CPI!$A$2:$B$112, 2, 0)</f>
        <v>240.00700000000001</v>
      </c>
      <c r="P516" s="32" t="s">
        <v>21</v>
      </c>
      <c r="Q516" s="32" t="s">
        <v>239</v>
      </c>
      <c r="R516" s="32" t="s">
        <v>942</v>
      </c>
      <c r="S516" s="32">
        <v>1771.77</v>
      </c>
      <c r="T516" s="32" t="s">
        <v>307</v>
      </c>
      <c r="U516" s="32">
        <f t="shared" si="31"/>
        <v>75.788640684410638</v>
      </c>
      <c r="V516" s="32" t="s">
        <v>2211</v>
      </c>
      <c r="W516" s="32">
        <f>VLOOKUP(N516, 'Exchange rate-Kenya'!$A$3:$B$65, 2, 0)</f>
        <v>67.317638124285693</v>
      </c>
      <c r="X516" s="32">
        <f t="shared" si="33"/>
        <v>1.1258363007995809</v>
      </c>
      <c r="Y516" s="32">
        <f>(CPI!$B$112/O516)*X516</f>
        <v>1.4291922533911041</v>
      </c>
      <c r="Z516" s="38" t="s">
        <v>303</v>
      </c>
      <c r="AA516" s="35" t="s">
        <v>1412</v>
      </c>
      <c r="AB516" s="32">
        <v>2104</v>
      </c>
      <c r="AC516" s="32" t="s">
        <v>2392</v>
      </c>
      <c r="AE516" s="32">
        <v>90</v>
      </c>
      <c r="AF516" s="32" t="s">
        <v>2393</v>
      </c>
      <c r="AG516">
        <v>20828</v>
      </c>
      <c r="AH516" s="32" t="s">
        <v>411</v>
      </c>
      <c r="AI516" s="32" t="s">
        <v>2395</v>
      </c>
      <c r="AJ516" s="36" t="s">
        <v>2394</v>
      </c>
      <c r="AK516" s="40" t="s">
        <v>953</v>
      </c>
      <c r="AL516" s="32">
        <v>2011</v>
      </c>
      <c r="AM516" s="32" t="s">
        <v>954</v>
      </c>
      <c r="AN516" s="32" t="s">
        <v>956</v>
      </c>
      <c r="AO516" s="38" t="s">
        <v>955</v>
      </c>
      <c r="AP516" s="35" t="s">
        <v>396</v>
      </c>
    </row>
    <row r="517" spans="1:42" x14ac:dyDescent="0.2">
      <c r="A517" s="40">
        <v>57</v>
      </c>
      <c r="B517" s="40">
        <v>516</v>
      </c>
      <c r="C517" s="40" t="s">
        <v>119</v>
      </c>
      <c r="D517" s="38" t="s">
        <v>128</v>
      </c>
      <c r="E517" s="32" t="s">
        <v>2183</v>
      </c>
      <c r="F517" s="32" t="s">
        <v>126</v>
      </c>
      <c r="G517" s="38" t="s">
        <v>60</v>
      </c>
      <c r="H517" s="32" t="s">
        <v>151</v>
      </c>
      <c r="I517" s="32" t="s">
        <v>243</v>
      </c>
      <c r="J517" s="32" t="s">
        <v>949</v>
      </c>
      <c r="K517" s="32" t="s">
        <v>129</v>
      </c>
      <c r="L517" s="32" t="s">
        <v>951</v>
      </c>
      <c r="M517" s="32" t="s">
        <v>952</v>
      </c>
      <c r="N517" s="40">
        <v>2007</v>
      </c>
      <c r="O517" s="32">
        <f>VLOOKUP(Data!N55, CPI!$A$2:$B$112, 2, 0)</f>
        <v>240.00700000000001</v>
      </c>
      <c r="P517" s="32" t="s">
        <v>21</v>
      </c>
      <c r="Q517" s="32" t="s">
        <v>239</v>
      </c>
      <c r="R517" s="32" t="s">
        <v>943</v>
      </c>
      <c r="S517" s="32">
        <v>1312.42</v>
      </c>
      <c r="T517" s="32" t="s">
        <v>307</v>
      </c>
      <c r="U517" s="32">
        <f t="shared" si="31"/>
        <v>56.139638783269966</v>
      </c>
      <c r="V517" s="32" t="s">
        <v>2211</v>
      </c>
      <c r="W517" s="32">
        <f>VLOOKUP(N517, 'Exchange rate-Kenya'!$A$3:$B$65, 2, 0)</f>
        <v>67.317638124285693</v>
      </c>
      <c r="X517" s="32">
        <f t="shared" si="33"/>
        <v>0.83395140333981621</v>
      </c>
      <c r="Y517" s="32">
        <f>(CPI!$B$112/O517)*X517</f>
        <v>1.0586591358898463</v>
      </c>
      <c r="Z517" s="38" t="s">
        <v>303</v>
      </c>
      <c r="AA517" s="35" t="s">
        <v>1412</v>
      </c>
      <c r="AB517" s="32">
        <v>2104</v>
      </c>
      <c r="AC517" s="32" t="s">
        <v>2392</v>
      </c>
      <c r="AE517" s="32">
        <v>90</v>
      </c>
      <c r="AF517" s="32" t="s">
        <v>2393</v>
      </c>
      <c r="AG517">
        <v>20933.416666666701</v>
      </c>
      <c r="AH517" s="32" t="s">
        <v>411</v>
      </c>
      <c r="AI517" s="32" t="s">
        <v>2395</v>
      </c>
      <c r="AJ517" s="36" t="s">
        <v>2394</v>
      </c>
      <c r="AK517" s="40" t="s">
        <v>953</v>
      </c>
      <c r="AL517" s="32">
        <v>2011</v>
      </c>
      <c r="AM517" s="32" t="s">
        <v>954</v>
      </c>
      <c r="AN517" s="32" t="s">
        <v>956</v>
      </c>
      <c r="AO517" s="38" t="s">
        <v>955</v>
      </c>
      <c r="AP517" s="35" t="s">
        <v>396</v>
      </c>
    </row>
    <row r="518" spans="1:42" x14ac:dyDescent="0.2">
      <c r="A518" s="40">
        <v>57</v>
      </c>
      <c r="B518" s="40">
        <v>517</v>
      </c>
      <c r="C518" s="40" t="s">
        <v>119</v>
      </c>
      <c r="D518" s="38" t="s">
        <v>128</v>
      </c>
      <c r="E518" s="32" t="s">
        <v>2183</v>
      </c>
      <c r="F518" s="32" t="s">
        <v>237</v>
      </c>
      <c r="G518" s="36" t="s">
        <v>2907</v>
      </c>
      <c r="H518" s="32" t="s">
        <v>151</v>
      </c>
      <c r="I518" s="32" t="s">
        <v>243</v>
      </c>
      <c r="J518" s="32" t="s">
        <v>949</v>
      </c>
      <c r="K518" s="32" t="s">
        <v>129</v>
      </c>
      <c r="L518" s="32" t="s">
        <v>951</v>
      </c>
      <c r="M518" s="32" t="s">
        <v>952</v>
      </c>
      <c r="N518" s="40">
        <v>2007</v>
      </c>
      <c r="O518" s="32">
        <f>VLOOKUP(Data!N56, CPI!$A$2:$B$112, 2, 0)</f>
        <v>240.00700000000001</v>
      </c>
      <c r="P518" s="32" t="s">
        <v>21</v>
      </c>
      <c r="Q518" s="32" t="s">
        <v>239</v>
      </c>
      <c r="R518" s="32" t="s">
        <v>944</v>
      </c>
      <c r="S518" s="32">
        <v>1312.42</v>
      </c>
      <c r="T518" s="32" t="s">
        <v>307</v>
      </c>
      <c r="U518" s="32">
        <f t="shared" si="31"/>
        <v>56.139638783269966</v>
      </c>
      <c r="V518" s="32" t="s">
        <v>2211</v>
      </c>
      <c r="W518" s="32">
        <f>VLOOKUP(N518, 'Exchange rate-Kenya'!$A$3:$B$65, 2, 0)</f>
        <v>67.317638124285693</v>
      </c>
      <c r="X518" s="32">
        <f t="shared" si="33"/>
        <v>0.83395140333981621</v>
      </c>
      <c r="Y518" s="32">
        <f>(CPI!$B$112/O518)*X518</f>
        <v>1.0586591358898463</v>
      </c>
      <c r="Z518" s="38" t="s">
        <v>303</v>
      </c>
      <c r="AA518" s="35" t="s">
        <v>1412</v>
      </c>
      <c r="AB518" s="32">
        <v>2104</v>
      </c>
      <c r="AC518" s="32" t="s">
        <v>2392</v>
      </c>
      <c r="AE518" s="32">
        <v>90</v>
      </c>
      <c r="AF518" s="32" t="s">
        <v>2393</v>
      </c>
      <c r="AG518">
        <v>21148</v>
      </c>
      <c r="AH518" s="32" t="s">
        <v>411</v>
      </c>
      <c r="AI518" s="32" t="s">
        <v>2395</v>
      </c>
      <c r="AJ518" s="36" t="s">
        <v>2394</v>
      </c>
      <c r="AK518" s="40" t="s">
        <v>953</v>
      </c>
      <c r="AL518" s="32">
        <v>2011</v>
      </c>
      <c r="AM518" s="32" t="s">
        <v>954</v>
      </c>
      <c r="AN518" s="32" t="s">
        <v>956</v>
      </c>
      <c r="AO518" s="38" t="s">
        <v>955</v>
      </c>
      <c r="AP518" s="35" t="s">
        <v>396</v>
      </c>
    </row>
    <row r="519" spans="1:42" x14ac:dyDescent="0.2">
      <c r="A519" s="40">
        <v>57</v>
      </c>
      <c r="B519" s="40">
        <v>518</v>
      </c>
      <c r="C519" s="40" t="s">
        <v>119</v>
      </c>
      <c r="D519" s="38" t="s">
        <v>128</v>
      </c>
      <c r="E519" s="32" t="s">
        <v>2186</v>
      </c>
      <c r="F519" s="32" t="s">
        <v>21</v>
      </c>
      <c r="G519" s="38" t="s">
        <v>163</v>
      </c>
      <c r="H519" s="32" t="s">
        <v>151</v>
      </c>
      <c r="I519" s="32" t="s">
        <v>243</v>
      </c>
      <c r="J519" s="32" t="s">
        <v>949</v>
      </c>
      <c r="K519" s="32" t="s">
        <v>129</v>
      </c>
      <c r="L519" s="32" t="s">
        <v>951</v>
      </c>
      <c r="M519" s="32" t="s">
        <v>952</v>
      </c>
      <c r="N519" s="40">
        <v>2007</v>
      </c>
      <c r="O519" s="32">
        <f>VLOOKUP(Data!N57, CPI!$A$2:$B$112, 2, 0)</f>
        <v>240.00700000000001</v>
      </c>
      <c r="P519" s="32" t="s">
        <v>21</v>
      </c>
      <c r="Q519" s="32" t="s">
        <v>239</v>
      </c>
      <c r="R519" s="32" t="s">
        <v>945</v>
      </c>
      <c r="S519" s="32">
        <v>196.86</v>
      </c>
      <c r="T519" s="32" t="s">
        <v>307</v>
      </c>
      <c r="U519" s="32">
        <f t="shared" si="31"/>
        <v>8.4208174904942972</v>
      </c>
      <c r="V519" s="32" t="s">
        <v>2211</v>
      </c>
      <c r="W519" s="32">
        <f>VLOOKUP(N519, 'Exchange rate-Kenya'!$A$3:$B$65, 2, 0)</f>
        <v>67.317638124285693</v>
      </c>
      <c r="X519" s="32">
        <f t="shared" si="33"/>
        <v>0.12509080421014326</v>
      </c>
      <c r="Y519" s="32">
        <f>(CPI!$B$112/O519)*X519</f>
        <v>0.15879645044366525</v>
      </c>
      <c r="Z519" s="38" t="s">
        <v>303</v>
      </c>
      <c r="AA519" s="35" t="s">
        <v>1412</v>
      </c>
      <c r="AB519" s="32">
        <v>2104</v>
      </c>
      <c r="AC519" s="32" t="s">
        <v>2392</v>
      </c>
      <c r="AE519" s="32">
        <v>90</v>
      </c>
      <c r="AF519" s="32" t="s">
        <v>2393</v>
      </c>
      <c r="AG519">
        <v>21697.567500000001</v>
      </c>
      <c r="AH519" s="32" t="s">
        <v>411</v>
      </c>
      <c r="AI519" s="32" t="s">
        <v>2395</v>
      </c>
      <c r="AJ519" s="36" t="s">
        <v>2394</v>
      </c>
      <c r="AK519" s="40" t="s">
        <v>953</v>
      </c>
      <c r="AL519" s="32">
        <v>2011</v>
      </c>
      <c r="AM519" s="32" t="s">
        <v>954</v>
      </c>
      <c r="AN519" s="32" t="s">
        <v>956</v>
      </c>
      <c r="AO519" s="38" t="s">
        <v>955</v>
      </c>
      <c r="AP519" s="35" t="s">
        <v>396</v>
      </c>
    </row>
    <row r="520" spans="1:42" x14ac:dyDescent="0.2">
      <c r="A520" s="40">
        <v>57</v>
      </c>
      <c r="B520" s="40">
        <v>519</v>
      </c>
      <c r="C520" s="40" t="s">
        <v>119</v>
      </c>
      <c r="D520" s="38" t="s">
        <v>128</v>
      </c>
      <c r="E520" s="32" t="s">
        <v>2887</v>
      </c>
      <c r="F520" s="32" t="s">
        <v>121</v>
      </c>
      <c r="G520" s="36" t="s">
        <v>2939</v>
      </c>
      <c r="H520" s="32" t="s">
        <v>151</v>
      </c>
      <c r="I520" s="32" t="s">
        <v>243</v>
      </c>
      <c r="J520" s="32" t="s">
        <v>949</v>
      </c>
      <c r="K520" s="32" t="s">
        <v>129</v>
      </c>
      <c r="L520" s="32" t="s">
        <v>951</v>
      </c>
      <c r="M520" s="32" t="s">
        <v>952</v>
      </c>
      <c r="N520" s="40">
        <v>2007</v>
      </c>
      <c r="O520" s="32">
        <f>VLOOKUP(Data!N58, CPI!$A$2:$B$112, 2, 0)</f>
        <v>240.00700000000001</v>
      </c>
      <c r="P520" s="32" t="s">
        <v>21</v>
      </c>
      <c r="Q520" s="32" t="s">
        <v>239</v>
      </c>
      <c r="R520" s="32" t="s">
        <v>946</v>
      </c>
      <c r="S520" s="32">
        <v>1115.56</v>
      </c>
      <c r="T520" s="32" t="s">
        <v>307</v>
      </c>
      <c r="U520" s="32">
        <f t="shared" si="31"/>
        <v>47.718821292775665</v>
      </c>
      <c r="V520" s="32" t="s">
        <v>2211</v>
      </c>
      <c r="W520" s="32">
        <f>VLOOKUP(N520, 'Exchange rate-Kenya'!$A$3:$B$65, 2, 0)</f>
        <v>67.317638124285693</v>
      </c>
      <c r="X520" s="32">
        <f t="shared" si="33"/>
        <v>0.70886059912967292</v>
      </c>
      <c r="Y520" s="32">
        <f>(CPI!$B$112/O520)*X520</f>
        <v>0.89986268544618109</v>
      </c>
      <c r="Z520" s="38" t="s">
        <v>303</v>
      </c>
      <c r="AA520" s="35" t="s">
        <v>1412</v>
      </c>
      <c r="AB520" s="32">
        <v>2104</v>
      </c>
      <c r="AC520" s="32" t="s">
        <v>2392</v>
      </c>
      <c r="AE520" s="32">
        <v>90</v>
      </c>
      <c r="AF520" s="32" t="s">
        <v>2393</v>
      </c>
      <c r="AG520">
        <v>21935.000833333299</v>
      </c>
      <c r="AH520" s="32" t="s">
        <v>411</v>
      </c>
      <c r="AI520" s="32" t="s">
        <v>2395</v>
      </c>
      <c r="AJ520" s="36" t="s">
        <v>2394</v>
      </c>
      <c r="AK520" s="40" t="s">
        <v>953</v>
      </c>
      <c r="AL520" s="32">
        <v>2011</v>
      </c>
      <c r="AM520" s="32" t="s">
        <v>954</v>
      </c>
      <c r="AN520" s="32" t="s">
        <v>956</v>
      </c>
      <c r="AO520" s="38" t="s">
        <v>955</v>
      </c>
      <c r="AP520" s="35" t="s">
        <v>396</v>
      </c>
    </row>
    <row r="521" spans="1:42" x14ac:dyDescent="0.2">
      <c r="A521" s="40">
        <v>57</v>
      </c>
      <c r="B521" s="40">
        <v>520</v>
      </c>
      <c r="C521" s="40" t="s">
        <v>119</v>
      </c>
      <c r="D521" s="38" t="s">
        <v>128</v>
      </c>
      <c r="E521" s="32" t="s">
        <v>2183</v>
      </c>
      <c r="F521" s="32" t="s">
        <v>126</v>
      </c>
      <c r="G521" s="38" t="s">
        <v>153</v>
      </c>
      <c r="H521" s="32" t="s">
        <v>151</v>
      </c>
      <c r="I521" s="32" t="s">
        <v>243</v>
      </c>
      <c r="J521" s="32" t="s">
        <v>949</v>
      </c>
      <c r="K521" s="32" t="s">
        <v>129</v>
      </c>
      <c r="L521" s="32" t="s">
        <v>951</v>
      </c>
      <c r="M521" s="32" t="s">
        <v>952</v>
      </c>
      <c r="N521" s="40">
        <v>2007</v>
      </c>
      <c r="O521" s="32">
        <f>VLOOKUP(Data!N59, CPI!$A$2:$B$112, 2, 0)</f>
        <v>232.95699999999999</v>
      </c>
      <c r="P521" s="32" t="s">
        <v>21</v>
      </c>
      <c r="Q521" s="32" t="s">
        <v>239</v>
      </c>
      <c r="R521" s="32" t="s">
        <v>947</v>
      </c>
      <c r="S521" s="32">
        <v>656.21</v>
      </c>
      <c r="T521" s="32" t="s">
        <v>307</v>
      </c>
      <c r="U521" s="32">
        <f t="shared" si="31"/>
        <v>28.069819391634983</v>
      </c>
      <c r="V521" s="32" t="s">
        <v>2211</v>
      </c>
      <c r="W521" s="32">
        <f>VLOOKUP(N521, 'Exchange rate-Kenya'!$A$3:$B$65, 2, 0)</f>
        <v>67.317638124285693</v>
      </c>
      <c r="X521" s="32">
        <f t="shared" si="33"/>
        <v>0.41697570166990811</v>
      </c>
      <c r="Y521" s="32">
        <f>(CPI!$B$112/O521)*X521</f>
        <v>0.5453487193505977</v>
      </c>
      <c r="Z521" s="38" t="s">
        <v>303</v>
      </c>
      <c r="AA521" s="35" t="s">
        <v>1412</v>
      </c>
      <c r="AB521" s="32">
        <v>2104</v>
      </c>
      <c r="AC521" s="32" t="s">
        <v>2392</v>
      </c>
      <c r="AE521" s="32">
        <v>90</v>
      </c>
      <c r="AF521" s="32" t="s">
        <v>2393</v>
      </c>
      <c r="AG521">
        <v>22370.086666666699</v>
      </c>
      <c r="AH521" s="32" t="s">
        <v>411</v>
      </c>
      <c r="AI521" s="32" t="s">
        <v>2395</v>
      </c>
      <c r="AJ521" s="36" t="s">
        <v>2394</v>
      </c>
      <c r="AK521" s="40" t="s">
        <v>953</v>
      </c>
      <c r="AL521" s="32">
        <v>2011</v>
      </c>
      <c r="AM521" s="32" t="s">
        <v>954</v>
      </c>
      <c r="AN521" s="32" t="s">
        <v>956</v>
      </c>
      <c r="AO521" s="38" t="s">
        <v>955</v>
      </c>
      <c r="AP521" s="35" t="s">
        <v>396</v>
      </c>
    </row>
    <row r="522" spans="1:42" x14ac:dyDescent="0.2">
      <c r="A522" s="40">
        <v>57</v>
      </c>
      <c r="B522" s="40">
        <v>521</v>
      </c>
      <c r="C522" s="40" t="s">
        <v>119</v>
      </c>
      <c r="D522" s="38" t="s">
        <v>128</v>
      </c>
      <c r="E522" s="32" t="s">
        <v>2183</v>
      </c>
      <c r="F522" s="32" t="s">
        <v>126</v>
      </c>
      <c r="G522" s="38" t="s">
        <v>152</v>
      </c>
      <c r="H522" s="32" t="s">
        <v>151</v>
      </c>
      <c r="I522" s="32" t="s">
        <v>243</v>
      </c>
      <c r="J522" s="32" t="s">
        <v>949</v>
      </c>
      <c r="K522" s="32" t="s">
        <v>129</v>
      </c>
      <c r="L522" s="32" t="s">
        <v>951</v>
      </c>
      <c r="M522" s="32" t="s">
        <v>952</v>
      </c>
      <c r="N522" s="40">
        <v>2007</v>
      </c>
      <c r="O522" s="32">
        <f>VLOOKUP(Data!N60, CPI!$A$2:$B$112, 2, 0)</f>
        <v>232.95699999999999</v>
      </c>
      <c r="P522" s="32" t="s">
        <v>21</v>
      </c>
      <c r="Q522" s="32" t="s">
        <v>239</v>
      </c>
      <c r="R522" s="32" t="s">
        <v>948</v>
      </c>
      <c r="S522" s="32">
        <v>853.07</v>
      </c>
      <c r="T522" s="32" t="s">
        <v>307</v>
      </c>
      <c r="U522" s="32">
        <f t="shared" si="31"/>
        <v>36.49063688212928</v>
      </c>
      <c r="V522" s="32" t="s">
        <v>2211</v>
      </c>
      <c r="W522" s="32">
        <f>VLOOKUP(N522, 'Exchange rate-Kenya'!$A$3:$B$65, 2, 0)</f>
        <v>67.317638124285693</v>
      </c>
      <c r="X522" s="32">
        <f t="shared" si="33"/>
        <v>0.54206650588005134</v>
      </c>
      <c r="Y522" s="32">
        <f>(CPI!$B$112/O522)*X522</f>
        <v>0.70895084198109504</v>
      </c>
      <c r="Z522" s="38" t="s">
        <v>303</v>
      </c>
      <c r="AA522" s="35" t="s">
        <v>1412</v>
      </c>
      <c r="AB522" s="32">
        <v>2104</v>
      </c>
      <c r="AC522" s="32" t="s">
        <v>2392</v>
      </c>
      <c r="AE522" s="32">
        <v>90</v>
      </c>
      <c r="AF522" s="32" t="s">
        <v>2393</v>
      </c>
      <c r="AG522">
        <v>22602.05</v>
      </c>
      <c r="AH522" s="32" t="s">
        <v>411</v>
      </c>
      <c r="AI522" s="32" t="s">
        <v>2395</v>
      </c>
      <c r="AJ522" s="36" t="s">
        <v>2394</v>
      </c>
      <c r="AK522" s="40" t="s">
        <v>953</v>
      </c>
      <c r="AL522" s="32">
        <v>2011</v>
      </c>
      <c r="AM522" s="32" t="s">
        <v>954</v>
      </c>
      <c r="AN522" s="32" t="s">
        <v>956</v>
      </c>
      <c r="AO522" s="38" t="s">
        <v>955</v>
      </c>
      <c r="AP522" s="35" t="s">
        <v>396</v>
      </c>
    </row>
    <row r="523" spans="1:42" x14ac:dyDescent="0.2">
      <c r="A523" s="40">
        <v>57</v>
      </c>
      <c r="B523" s="40">
        <v>522</v>
      </c>
      <c r="C523" s="40" t="s">
        <v>119</v>
      </c>
      <c r="D523" s="38" t="s">
        <v>128</v>
      </c>
      <c r="E523" s="32" t="s">
        <v>2183</v>
      </c>
      <c r="F523" s="32" t="s">
        <v>140</v>
      </c>
      <c r="G523" s="38" t="s">
        <v>2160</v>
      </c>
      <c r="H523" s="32" t="s">
        <v>151</v>
      </c>
      <c r="I523" s="32" t="s">
        <v>243</v>
      </c>
      <c r="J523" s="32" t="s">
        <v>950</v>
      </c>
      <c r="K523" s="32" t="s">
        <v>129</v>
      </c>
      <c r="L523" s="32" t="s">
        <v>951</v>
      </c>
      <c r="M523" s="32" t="s">
        <v>952</v>
      </c>
      <c r="N523" s="40">
        <v>2007</v>
      </c>
      <c r="O523" s="32">
        <f>VLOOKUP(Data!N61, CPI!$A$2:$B$112, 2, 0)</f>
        <v>232.95699999999999</v>
      </c>
      <c r="P523" s="32" t="s">
        <v>21</v>
      </c>
      <c r="Q523" s="32" t="s">
        <v>239</v>
      </c>
      <c r="R523" s="32" t="s">
        <v>939</v>
      </c>
      <c r="S523" s="32">
        <v>3281.05</v>
      </c>
      <c r="T523" s="32" t="s">
        <v>307</v>
      </c>
      <c r="U523" s="32">
        <f t="shared" si="31"/>
        <v>140.3490969581749</v>
      </c>
      <c r="V523" s="32" t="s">
        <v>2211</v>
      </c>
      <c r="W523" s="32">
        <f>VLOOKUP(N523, 'Exchange rate-Kenya'!$A$3:$B$65, 2, 0)</f>
        <v>67.317638124285693</v>
      </c>
      <c r="X523" s="32">
        <f t="shared" si="33"/>
        <v>2.08487850834954</v>
      </c>
      <c r="Y523" s="32">
        <f>(CPI!$B$112/O523)*X523</f>
        <v>2.7267435967529878</v>
      </c>
      <c r="Z523" s="38" t="s">
        <v>303</v>
      </c>
      <c r="AA523" s="35" t="s">
        <v>1412</v>
      </c>
      <c r="AB523" s="32">
        <v>2104</v>
      </c>
      <c r="AC523" s="32" t="s">
        <v>2392</v>
      </c>
      <c r="AE523" s="32">
        <v>90</v>
      </c>
      <c r="AF523" s="32" t="s">
        <v>2393</v>
      </c>
      <c r="AG523">
        <v>23050.241666666701</v>
      </c>
      <c r="AH523" s="32" t="s">
        <v>411</v>
      </c>
      <c r="AI523" s="32" t="s">
        <v>2395</v>
      </c>
      <c r="AJ523" s="36" t="s">
        <v>2394</v>
      </c>
      <c r="AK523" s="40" t="s">
        <v>953</v>
      </c>
      <c r="AL523" s="32">
        <v>2011</v>
      </c>
      <c r="AM523" s="32" t="s">
        <v>954</v>
      </c>
      <c r="AN523" s="32" t="s">
        <v>956</v>
      </c>
      <c r="AO523" s="38" t="s">
        <v>955</v>
      </c>
      <c r="AP523" s="35" t="s">
        <v>396</v>
      </c>
    </row>
    <row r="524" spans="1:42" x14ac:dyDescent="0.2">
      <c r="A524" s="40">
        <v>57</v>
      </c>
      <c r="B524" s="40">
        <v>523</v>
      </c>
      <c r="C524" s="40" t="s">
        <v>119</v>
      </c>
      <c r="D524" s="38" t="s">
        <v>128</v>
      </c>
      <c r="E524" s="32" t="s">
        <v>2183</v>
      </c>
      <c r="F524" s="32" t="s">
        <v>126</v>
      </c>
      <c r="G524" s="38" t="s">
        <v>2910</v>
      </c>
      <c r="H524" s="32" t="s">
        <v>151</v>
      </c>
      <c r="I524" s="32" t="s">
        <v>243</v>
      </c>
      <c r="J524" s="32" t="s">
        <v>950</v>
      </c>
      <c r="K524" s="32" t="s">
        <v>129</v>
      </c>
      <c r="L524" s="32" t="s">
        <v>951</v>
      </c>
      <c r="M524" s="32" t="s">
        <v>952</v>
      </c>
      <c r="N524" s="40">
        <v>2007</v>
      </c>
      <c r="O524" s="32">
        <f>VLOOKUP(Data!N62, CPI!$A$2:$B$112, 2, 0)</f>
        <v>232.95699999999999</v>
      </c>
      <c r="P524" s="32" t="s">
        <v>21</v>
      </c>
      <c r="Q524" s="32" t="s">
        <v>239</v>
      </c>
      <c r="R524" s="32" t="s">
        <v>940</v>
      </c>
      <c r="S524" s="32">
        <v>2821.7</v>
      </c>
      <c r="T524" s="32" t="s">
        <v>307</v>
      </c>
      <c r="U524" s="32">
        <f t="shared" si="31"/>
        <v>120.7000950570342</v>
      </c>
      <c r="V524" s="32" t="s">
        <v>2211</v>
      </c>
      <c r="W524" s="32">
        <f>VLOOKUP(N524, 'Exchange rate-Kenya'!$A$3:$B$65, 2, 0)</f>
        <v>67.317638124285693</v>
      </c>
      <c r="X524" s="32">
        <f t="shared" si="33"/>
        <v>1.7929936108897753</v>
      </c>
      <c r="Y524" s="32">
        <f>(CPI!$B$112/O524)*X524</f>
        <v>2.3449970000328877</v>
      </c>
      <c r="Z524" s="38" t="s">
        <v>303</v>
      </c>
      <c r="AA524" s="35" t="s">
        <v>1412</v>
      </c>
      <c r="AB524" s="32">
        <v>2104</v>
      </c>
      <c r="AC524" s="32" t="s">
        <v>2392</v>
      </c>
      <c r="AE524" s="32">
        <v>90</v>
      </c>
      <c r="AF524" s="32" t="s">
        <v>2393</v>
      </c>
      <c r="AG524">
        <v>23208.368333333299</v>
      </c>
      <c r="AH524" s="32" t="s">
        <v>411</v>
      </c>
      <c r="AI524" s="32" t="s">
        <v>2395</v>
      </c>
      <c r="AJ524" s="36" t="s">
        <v>2394</v>
      </c>
      <c r="AK524" s="40" t="s">
        <v>953</v>
      </c>
      <c r="AL524" s="32">
        <v>2011</v>
      </c>
      <c r="AM524" s="32" t="s">
        <v>954</v>
      </c>
      <c r="AN524" s="32" t="s">
        <v>956</v>
      </c>
      <c r="AO524" s="38" t="s">
        <v>955</v>
      </c>
      <c r="AP524" s="35" t="s">
        <v>396</v>
      </c>
    </row>
    <row r="525" spans="1:42" x14ac:dyDescent="0.2">
      <c r="A525" s="40">
        <v>57</v>
      </c>
      <c r="B525" s="40">
        <v>524</v>
      </c>
      <c r="C525" s="40" t="s">
        <v>119</v>
      </c>
      <c r="D525" s="38" t="s">
        <v>128</v>
      </c>
      <c r="E525" s="32" t="s">
        <v>2183</v>
      </c>
      <c r="F525" s="32" t="s">
        <v>126</v>
      </c>
      <c r="G525" s="38" t="s">
        <v>153</v>
      </c>
      <c r="H525" s="32" t="s">
        <v>151</v>
      </c>
      <c r="I525" s="32" t="s">
        <v>243</v>
      </c>
      <c r="J525" s="32" t="s">
        <v>950</v>
      </c>
      <c r="K525" s="32" t="s">
        <v>129</v>
      </c>
      <c r="L525" s="32" t="s">
        <v>951</v>
      </c>
      <c r="M525" s="32" t="s">
        <v>952</v>
      </c>
      <c r="N525" s="40">
        <v>2007</v>
      </c>
      <c r="O525" s="32">
        <f>VLOOKUP(Data!N63, CPI!$A$2:$B$112, 2, 0)</f>
        <v>232.95699999999999</v>
      </c>
      <c r="P525" s="32" t="s">
        <v>21</v>
      </c>
      <c r="Q525" s="32" t="s">
        <v>239</v>
      </c>
      <c r="R525" s="32" t="s">
        <v>941</v>
      </c>
      <c r="S525" s="32">
        <v>2165.4899999999998</v>
      </c>
      <c r="T525" s="32" t="s">
        <v>307</v>
      </c>
      <c r="U525" s="32">
        <f t="shared" si="31"/>
        <v>92.630275665399225</v>
      </c>
      <c r="V525" s="32" t="s">
        <v>2211</v>
      </c>
      <c r="W525" s="32">
        <f>VLOOKUP(N525, 'Exchange rate-Kenya'!$A$3:$B$65, 2, 0)</f>
        <v>67.317638124285693</v>
      </c>
      <c r="X525" s="32">
        <f t="shared" si="33"/>
        <v>1.3760179092198672</v>
      </c>
      <c r="Y525" s="32">
        <f>(CPI!$B$112/O525)*X525</f>
        <v>1.79964828068229</v>
      </c>
      <c r="Z525" s="38" t="s">
        <v>303</v>
      </c>
      <c r="AA525" s="35" t="s">
        <v>1412</v>
      </c>
      <c r="AB525" s="32">
        <v>2104</v>
      </c>
      <c r="AC525" s="32" t="s">
        <v>2392</v>
      </c>
      <c r="AE525" s="32">
        <v>90</v>
      </c>
      <c r="AF525" s="32" t="s">
        <v>2393</v>
      </c>
      <c r="AG525">
        <v>23159.782592592601</v>
      </c>
      <c r="AH525" s="32" t="s">
        <v>411</v>
      </c>
      <c r="AI525" s="32" t="s">
        <v>2395</v>
      </c>
      <c r="AJ525" s="36" t="s">
        <v>2394</v>
      </c>
      <c r="AK525" s="40" t="s">
        <v>953</v>
      </c>
      <c r="AL525" s="32">
        <v>2011</v>
      </c>
      <c r="AM525" s="32" t="s">
        <v>954</v>
      </c>
      <c r="AN525" s="32" t="s">
        <v>956</v>
      </c>
      <c r="AO525" s="38" t="s">
        <v>955</v>
      </c>
      <c r="AP525" s="35" t="s">
        <v>396</v>
      </c>
    </row>
    <row r="526" spans="1:42" x14ac:dyDescent="0.2">
      <c r="A526" s="40">
        <v>57</v>
      </c>
      <c r="B526" s="40">
        <v>525</v>
      </c>
      <c r="C526" s="40" t="s">
        <v>119</v>
      </c>
      <c r="D526" s="38" t="s">
        <v>128</v>
      </c>
      <c r="E526" s="32" t="s">
        <v>2183</v>
      </c>
      <c r="F526" s="32" t="s">
        <v>237</v>
      </c>
      <c r="G526" s="38" t="s">
        <v>117</v>
      </c>
      <c r="H526" s="32" t="s">
        <v>151</v>
      </c>
      <c r="I526" s="32" t="s">
        <v>243</v>
      </c>
      <c r="J526" s="32" t="s">
        <v>950</v>
      </c>
      <c r="K526" s="32" t="s">
        <v>129</v>
      </c>
      <c r="L526" s="32" t="s">
        <v>951</v>
      </c>
      <c r="M526" s="32" t="s">
        <v>952</v>
      </c>
      <c r="N526" s="40">
        <v>2007</v>
      </c>
      <c r="O526" s="32">
        <f>VLOOKUP(Data!N64, CPI!$A$2:$B$112, 2, 0)</f>
        <v>232.95699999999999</v>
      </c>
      <c r="P526" s="32" t="s">
        <v>21</v>
      </c>
      <c r="Q526" s="32" t="s">
        <v>239</v>
      </c>
      <c r="R526" s="32" t="s">
        <v>942</v>
      </c>
      <c r="S526" s="32">
        <v>1509.28</v>
      </c>
      <c r="T526" s="32" t="s">
        <v>307</v>
      </c>
      <c r="U526" s="32">
        <f t="shared" si="31"/>
        <v>64.56045627376426</v>
      </c>
      <c r="V526" s="32" t="s">
        <v>2211</v>
      </c>
      <c r="W526" s="32">
        <f>VLOOKUP(N526, 'Exchange rate-Kenya'!$A$3:$B$65, 2, 0)</f>
        <v>67.317638124285693</v>
      </c>
      <c r="X526" s="32">
        <f t="shared" si="33"/>
        <v>0.95904220754995939</v>
      </c>
      <c r="Y526" s="32">
        <f>(CPI!$B$112/O526)*X526</f>
        <v>1.2542995613316925</v>
      </c>
      <c r="Z526" s="38" t="s">
        <v>303</v>
      </c>
      <c r="AA526" s="35" t="s">
        <v>1412</v>
      </c>
      <c r="AB526" s="32">
        <v>2104</v>
      </c>
      <c r="AC526" s="32" t="s">
        <v>2392</v>
      </c>
      <c r="AE526" s="32">
        <v>90</v>
      </c>
      <c r="AF526" s="32" t="s">
        <v>2393</v>
      </c>
      <c r="AH526" s="32" t="s">
        <v>411</v>
      </c>
      <c r="AI526" s="32" t="s">
        <v>2395</v>
      </c>
      <c r="AJ526" s="36" t="s">
        <v>2394</v>
      </c>
      <c r="AK526" s="40" t="s">
        <v>953</v>
      </c>
      <c r="AL526" s="32">
        <v>2011</v>
      </c>
      <c r="AM526" s="32" t="s">
        <v>954</v>
      </c>
      <c r="AN526" s="32" t="s">
        <v>956</v>
      </c>
      <c r="AO526" s="38" t="s">
        <v>955</v>
      </c>
      <c r="AP526" s="35" t="s">
        <v>396</v>
      </c>
    </row>
    <row r="527" spans="1:42" x14ac:dyDescent="0.2">
      <c r="A527" s="40">
        <v>57</v>
      </c>
      <c r="B527" s="40">
        <v>526</v>
      </c>
      <c r="C527" s="40" t="s">
        <v>119</v>
      </c>
      <c r="D527" s="38" t="s">
        <v>128</v>
      </c>
      <c r="E527" s="32" t="s">
        <v>2183</v>
      </c>
      <c r="F527" s="32" t="s">
        <v>126</v>
      </c>
      <c r="G527" s="38" t="s">
        <v>60</v>
      </c>
      <c r="H527" s="32" t="s">
        <v>151</v>
      </c>
      <c r="I527" s="32" t="s">
        <v>243</v>
      </c>
      <c r="J527" s="32" t="s">
        <v>950</v>
      </c>
      <c r="K527" s="32" t="s">
        <v>129</v>
      </c>
      <c r="L527" s="32" t="s">
        <v>951</v>
      </c>
      <c r="M527" s="32" t="s">
        <v>952</v>
      </c>
      <c r="N527" s="40">
        <v>2007</v>
      </c>
      <c r="O527" s="32">
        <f>VLOOKUP(Data!N65, CPI!$A$2:$B$112, 2, 0)</f>
        <v>232.95699999999999</v>
      </c>
      <c r="P527" s="32" t="s">
        <v>21</v>
      </c>
      <c r="Q527" s="32" t="s">
        <v>239</v>
      </c>
      <c r="R527" s="32" t="s">
        <v>943</v>
      </c>
      <c r="S527" s="32">
        <v>853.07</v>
      </c>
      <c r="T527" s="32" t="s">
        <v>307</v>
      </c>
      <c r="U527" s="32">
        <f t="shared" si="31"/>
        <v>36.49063688212928</v>
      </c>
      <c r="V527" s="32" t="s">
        <v>2211</v>
      </c>
      <c r="W527" s="32">
        <f>VLOOKUP(N527, 'Exchange rate-Kenya'!$A$3:$B$65, 2, 0)</f>
        <v>67.317638124285693</v>
      </c>
      <c r="X527" s="32">
        <f t="shared" si="33"/>
        <v>0.54206650588005134</v>
      </c>
      <c r="Y527" s="32">
        <f>(CPI!$B$112/O527)*X527</f>
        <v>0.70895084198109504</v>
      </c>
      <c r="Z527" s="38" t="s">
        <v>303</v>
      </c>
      <c r="AA527" s="35" t="s">
        <v>1412</v>
      </c>
      <c r="AB527" s="32">
        <v>2104</v>
      </c>
      <c r="AC527" s="32" t="s">
        <v>2392</v>
      </c>
      <c r="AE527" s="32">
        <v>90</v>
      </c>
      <c r="AF527" s="32" t="s">
        <v>2393</v>
      </c>
      <c r="AH527" s="32" t="s">
        <v>411</v>
      </c>
      <c r="AI527" s="32" t="s">
        <v>2395</v>
      </c>
      <c r="AJ527" s="36" t="s">
        <v>2394</v>
      </c>
      <c r="AK527" s="40" t="s">
        <v>953</v>
      </c>
      <c r="AL527" s="32">
        <v>2011</v>
      </c>
      <c r="AM527" s="32" t="s">
        <v>954</v>
      </c>
      <c r="AN527" s="32" t="s">
        <v>956</v>
      </c>
      <c r="AO527" s="38" t="s">
        <v>955</v>
      </c>
      <c r="AP527" s="35" t="s">
        <v>396</v>
      </c>
    </row>
    <row r="528" spans="1:42" x14ac:dyDescent="0.2">
      <c r="A528" s="40">
        <v>57</v>
      </c>
      <c r="B528" s="40">
        <v>527</v>
      </c>
      <c r="C528" s="40" t="s">
        <v>119</v>
      </c>
      <c r="D528" s="38" t="s">
        <v>128</v>
      </c>
      <c r="E528" s="32" t="s">
        <v>2183</v>
      </c>
      <c r="F528" s="32" t="s">
        <v>237</v>
      </c>
      <c r="G528" s="36" t="s">
        <v>2907</v>
      </c>
      <c r="H528" s="32" t="s">
        <v>151</v>
      </c>
      <c r="I528" s="32" t="s">
        <v>243</v>
      </c>
      <c r="J528" s="32" t="s">
        <v>950</v>
      </c>
      <c r="K528" s="32" t="s">
        <v>129</v>
      </c>
      <c r="L528" s="32" t="s">
        <v>951</v>
      </c>
      <c r="M528" s="32" t="s">
        <v>952</v>
      </c>
      <c r="N528" s="40">
        <v>2007</v>
      </c>
      <c r="O528" s="32">
        <f>VLOOKUP(Data!N66, CPI!$A$2:$B$112, 2, 0)</f>
        <v>232.95699999999999</v>
      </c>
      <c r="P528" s="32" t="s">
        <v>21</v>
      </c>
      <c r="Q528" s="32" t="s">
        <v>239</v>
      </c>
      <c r="R528" s="32" t="s">
        <v>944</v>
      </c>
      <c r="S528" s="32">
        <v>1312.42</v>
      </c>
      <c r="T528" s="32" t="s">
        <v>307</v>
      </c>
      <c r="U528" s="32">
        <f t="shared" si="31"/>
        <v>56.139638783269966</v>
      </c>
      <c r="V528" s="32" t="s">
        <v>2211</v>
      </c>
      <c r="W528" s="32">
        <f>VLOOKUP(N528, 'Exchange rate-Kenya'!$A$3:$B$65, 2, 0)</f>
        <v>67.317638124285693</v>
      </c>
      <c r="X528" s="32">
        <f t="shared" si="33"/>
        <v>0.83395140333981621</v>
      </c>
      <c r="Y528" s="32">
        <f>(CPI!$B$112/O528)*X528</f>
        <v>1.0906974387011954</v>
      </c>
      <c r="Z528" s="38" t="s">
        <v>303</v>
      </c>
      <c r="AA528" s="35" t="s">
        <v>1412</v>
      </c>
      <c r="AB528" s="32">
        <v>2104</v>
      </c>
      <c r="AC528" s="32" t="s">
        <v>2392</v>
      </c>
      <c r="AE528" s="32">
        <v>90</v>
      </c>
      <c r="AF528" s="32" t="s">
        <v>2393</v>
      </c>
      <c r="AH528" s="32" t="s">
        <v>411</v>
      </c>
      <c r="AI528" s="32" t="s">
        <v>2395</v>
      </c>
      <c r="AJ528" s="36" t="s">
        <v>2394</v>
      </c>
      <c r="AK528" s="40" t="s">
        <v>953</v>
      </c>
      <c r="AL528" s="32">
        <v>2011</v>
      </c>
      <c r="AM528" s="32" t="s">
        <v>954</v>
      </c>
      <c r="AN528" s="32" t="s">
        <v>956</v>
      </c>
      <c r="AO528" s="38" t="s">
        <v>955</v>
      </c>
      <c r="AP528" s="35" t="s">
        <v>396</v>
      </c>
    </row>
    <row r="529" spans="1:42" x14ac:dyDescent="0.2">
      <c r="A529" s="40">
        <v>57</v>
      </c>
      <c r="B529" s="40">
        <v>528</v>
      </c>
      <c r="C529" s="40" t="s">
        <v>119</v>
      </c>
      <c r="D529" s="38" t="s">
        <v>128</v>
      </c>
      <c r="E529" s="32" t="s">
        <v>2186</v>
      </c>
      <c r="F529" s="32" t="s">
        <v>21</v>
      </c>
      <c r="G529" s="38" t="s">
        <v>163</v>
      </c>
      <c r="H529" s="32" t="s">
        <v>151</v>
      </c>
      <c r="I529" s="32" t="s">
        <v>243</v>
      </c>
      <c r="J529" s="32" t="s">
        <v>950</v>
      </c>
      <c r="K529" s="32" t="s">
        <v>129</v>
      </c>
      <c r="L529" s="32" t="s">
        <v>951</v>
      </c>
      <c r="M529" s="32" t="s">
        <v>952</v>
      </c>
      <c r="N529" s="40">
        <v>2007</v>
      </c>
      <c r="O529" s="32">
        <f>VLOOKUP(Data!N67, CPI!$A$2:$B$112, 2, 0)</f>
        <v>232.95699999999999</v>
      </c>
      <c r="P529" s="32" t="s">
        <v>21</v>
      </c>
      <c r="Q529" s="32" t="s">
        <v>239</v>
      </c>
      <c r="R529" s="32" t="s">
        <v>945</v>
      </c>
      <c r="S529" s="32">
        <v>459.35</v>
      </c>
      <c r="T529" s="32" t="s">
        <v>307</v>
      </c>
      <c r="U529" s="32">
        <f t="shared" si="31"/>
        <v>19.649001901140686</v>
      </c>
      <c r="V529" s="32" t="s">
        <v>2211</v>
      </c>
      <c r="W529" s="32">
        <f>VLOOKUP(N529, 'Exchange rate-Kenya'!$A$3:$B$65, 2, 0)</f>
        <v>67.317638124285693</v>
      </c>
      <c r="X529" s="32">
        <f t="shared" si="33"/>
        <v>0.29188489745976481</v>
      </c>
      <c r="Y529" s="32">
        <f>(CPI!$B$112/O529)*X529</f>
        <v>0.38174659672010031</v>
      </c>
      <c r="Z529" s="38" t="s">
        <v>303</v>
      </c>
      <c r="AA529" s="35" t="s">
        <v>1412</v>
      </c>
      <c r="AB529" s="32">
        <v>2104</v>
      </c>
      <c r="AC529" s="32" t="s">
        <v>2392</v>
      </c>
      <c r="AE529" s="32">
        <v>90</v>
      </c>
      <c r="AF529" s="32" t="s">
        <v>2393</v>
      </c>
      <c r="AH529" s="32" t="s">
        <v>411</v>
      </c>
      <c r="AI529" s="32" t="s">
        <v>2395</v>
      </c>
      <c r="AJ529" s="36" t="s">
        <v>2394</v>
      </c>
      <c r="AK529" s="40" t="s">
        <v>953</v>
      </c>
      <c r="AL529" s="32">
        <v>2011</v>
      </c>
      <c r="AM529" s="32" t="s">
        <v>954</v>
      </c>
      <c r="AN529" s="32" t="s">
        <v>956</v>
      </c>
      <c r="AO529" s="38" t="s">
        <v>955</v>
      </c>
      <c r="AP529" s="35" t="s">
        <v>396</v>
      </c>
    </row>
    <row r="530" spans="1:42" x14ac:dyDescent="0.2">
      <c r="A530" s="40">
        <v>57</v>
      </c>
      <c r="B530" s="40">
        <v>529</v>
      </c>
      <c r="C530" s="40" t="s">
        <v>119</v>
      </c>
      <c r="D530" s="38" t="s">
        <v>128</v>
      </c>
      <c r="E530" s="32" t="s">
        <v>2887</v>
      </c>
      <c r="F530" s="32" t="s">
        <v>121</v>
      </c>
      <c r="G530" s="36" t="s">
        <v>2939</v>
      </c>
      <c r="H530" s="32" t="s">
        <v>151</v>
      </c>
      <c r="I530" s="32" t="s">
        <v>243</v>
      </c>
      <c r="J530" s="32" t="s">
        <v>950</v>
      </c>
      <c r="K530" s="32" t="s">
        <v>129</v>
      </c>
      <c r="L530" s="32" t="s">
        <v>951</v>
      </c>
      <c r="M530" s="32" t="s">
        <v>952</v>
      </c>
      <c r="N530" s="40">
        <v>2007</v>
      </c>
      <c r="O530" s="32">
        <f>VLOOKUP(Data!N68, CPI!$A$2:$B$112, 2, 0)</f>
        <v>232.95699999999999</v>
      </c>
      <c r="P530" s="32" t="s">
        <v>21</v>
      </c>
      <c r="Q530" s="32" t="s">
        <v>239</v>
      </c>
      <c r="R530" s="32" t="s">
        <v>946</v>
      </c>
      <c r="S530" s="32">
        <v>1968.63</v>
      </c>
      <c r="T530" s="32" t="s">
        <v>307</v>
      </c>
      <c r="U530" s="32">
        <f t="shared" si="31"/>
        <v>84.209458174904952</v>
      </c>
      <c r="V530" s="32" t="s">
        <v>2211</v>
      </c>
      <c r="W530" s="32">
        <f>VLOOKUP(N530, 'Exchange rate-Kenya'!$A$3:$B$65, 2, 0)</f>
        <v>67.317638124285693</v>
      </c>
      <c r="X530" s="32">
        <f t="shared" si="33"/>
        <v>1.2509271050097244</v>
      </c>
      <c r="Y530" s="32">
        <f>(CPI!$B$112/O530)*X530</f>
        <v>1.6360461580517931</v>
      </c>
      <c r="Z530" s="38" t="s">
        <v>303</v>
      </c>
      <c r="AA530" s="35" t="s">
        <v>1412</v>
      </c>
      <c r="AB530" s="32">
        <v>2104</v>
      </c>
      <c r="AC530" s="32" t="s">
        <v>2392</v>
      </c>
      <c r="AE530" s="32">
        <v>90</v>
      </c>
      <c r="AF530" s="32" t="s">
        <v>2393</v>
      </c>
      <c r="AH530" s="32" t="s">
        <v>411</v>
      </c>
      <c r="AI530" s="32" t="s">
        <v>2395</v>
      </c>
      <c r="AJ530" s="36" t="s">
        <v>2394</v>
      </c>
      <c r="AK530" s="40" t="s">
        <v>953</v>
      </c>
      <c r="AL530" s="32">
        <v>2011</v>
      </c>
      <c r="AM530" s="32" t="s">
        <v>954</v>
      </c>
      <c r="AN530" s="32" t="s">
        <v>956</v>
      </c>
      <c r="AO530" s="38" t="s">
        <v>955</v>
      </c>
      <c r="AP530" s="35" t="s">
        <v>396</v>
      </c>
    </row>
    <row r="531" spans="1:42" x14ac:dyDescent="0.2">
      <c r="A531" s="40">
        <v>57</v>
      </c>
      <c r="B531" s="40">
        <v>530</v>
      </c>
      <c r="C531" s="40" t="s">
        <v>119</v>
      </c>
      <c r="D531" s="38" t="s">
        <v>128</v>
      </c>
      <c r="E531" s="32" t="s">
        <v>2183</v>
      </c>
      <c r="F531" s="32" t="s">
        <v>126</v>
      </c>
      <c r="G531" s="38" t="s">
        <v>153</v>
      </c>
      <c r="H531" s="32" t="s">
        <v>151</v>
      </c>
      <c r="I531" s="32" t="s">
        <v>243</v>
      </c>
      <c r="J531" s="32" t="s">
        <v>950</v>
      </c>
      <c r="K531" s="32" t="s">
        <v>129</v>
      </c>
      <c r="L531" s="32" t="s">
        <v>951</v>
      </c>
      <c r="M531" s="32" t="s">
        <v>952</v>
      </c>
      <c r="N531" s="40">
        <v>2007</v>
      </c>
      <c r="O531" s="32">
        <f>VLOOKUP(Data!N69, CPI!$A$2:$B$112, 2, 0)</f>
        <v>232.95699999999999</v>
      </c>
      <c r="P531" s="32" t="s">
        <v>21</v>
      </c>
      <c r="Q531" s="32" t="s">
        <v>239</v>
      </c>
      <c r="R531" s="32" t="s">
        <v>947</v>
      </c>
      <c r="S531" s="32">
        <v>1968.63</v>
      </c>
      <c r="T531" s="32" t="s">
        <v>307</v>
      </c>
      <c r="U531" s="32">
        <f t="shared" si="31"/>
        <v>84.209458174904952</v>
      </c>
      <c r="V531" s="32" t="s">
        <v>2211</v>
      </c>
      <c r="W531" s="32">
        <f>VLOOKUP(N531, 'Exchange rate-Kenya'!$A$3:$B$65, 2, 0)</f>
        <v>67.317638124285693</v>
      </c>
      <c r="X531" s="32">
        <f t="shared" si="33"/>
        <v>1.2509271050097244</v>
      </c>
      <c r="Y531" s="32">
        <f>(CPI!$B$112/O531)*X531</f>
        <v>1.6360461580517931</v>
      </c>
      <c r="Z531" s="38" t="s">
        <v>303</v>
      </c>
      <c r="AA531" s="35" t="s">
        <v>1412</v>
      </c>
      <c r="AB531" s="32">
        <v>2104</v>
      </c>
      <c r="AC531" s="32" t="s">
        <v>2392</v>
      </c>
      <c r="AE531" s="32">
        <v>90</v>
      </c>
      <c r="AF531" s="32" t="s">
        <v>2393</v>
      </c>
      <c r="AH531" s="32" t="s">
        <v>411</v>
      </c>
      <c r="AI531" s="32" t="s">
        <v>2395</v>
      </c>
      <c r="AJ531" s="36" t="s">
        <v>2394</v>
      </c>
      <c r="AK531" s="40" t="s">
        <v>953</v>
      </c>
      <c r="AL531" s="32">
        <v>2011</v>
      </c>
      <c r="AM531" s="32" t="s">
        <v>954</v>
      </c>
      <c r="AN531" s="32" t="s">
        <v>956</v>
      </c>
      <c r="AO531" s="38" t="s">
        <v>955</v>
      </c>
      <c r="AP531" s="35" t="s">
        <v>396</v>
      </c>
    </row>
    <row r="532" spans="1:42" x14ac:dyDescent="0.2">
      <c r="A532" s="40">
        <v>57</v>
      </c>
      <c r="B532" s="40">
        <v>531</v>
      </c>
      <c r="C532" s="40" t="s">
        <v>119</v>
      </c>
      <c r="D532" s="38" t="s">
        <v>128</v>
      </c>
      <c r="E532" s="32" t="s">
        <v>2183</v>
      </c>
      <c r="F532" s="32" t="s">
        <v>126</v>
      </c>
      <c r="G532" s="38" t="s">
        <v>152</v>
      </c>
      <c r="H532" s="32" t="s">
        <v>151</v>
      </c>
      <c r="I532" s="32" t="s">
        <v>243</v>
      </c>
      <c r="J532" s="32" t="s">
        <v>950</v>
      </c>
      <c r="K532" s="32" t="s">
        <v>129</v>
      </c>
      <c r="L532" s="32" t="s">
        <v>951</v>
      </c>
      <c r="M532" s="32" t="s">
        <v>952</v>
      </c>
      <c r="N532" s="40">
        <v>2007</v>
      </c>
      <c r="O532" s="32">
        <f>VLOOKUP(Data!N70, CPI!$A$2:$B$112, 2, 0)</f>
        <v>232.95699999999999</v>
      </c>
      <c r="P532" s="32" t="s">
        <v>21</v>
      </c>
      <c r="Q532" s="32" t="s">
        <v>239</v>
      </c>
      <c r="R532" s="32" t="s">
        <v>948</v>
      </c>
      <c r="S532" s="32">
        <v>1771.77</v>
      </c>
      <c r="T532" s="32" t="s">
        <v>307</v>
      </c>
      <c r="U532" s="32">
        <f t="shared" si="31"/>
        <v>75.788640684410638</v>
      </c>
      <c r="V532" s="32" t="s">
        <v>2211</v>
      </c>
      <c r="W532" s="32">
        <f>VLOOKUP(N532, 'Exchange rate-Kenya'!$A$3:$B$65, 2, 0)</f>
        <v>67.317638124285693</v>
      </c>
      <c r="X532" s="32">
        <f t="shared" si="33"/>
        <v>1.1258363007995809</v>
      </c>
      <c r="Y532" s="32">
        <f>(CPI!$B$112/O532)*X532</f>
        <v>1.4724440354212955</v>
      </c>
      <c r="Z532" s="38" t="s">
        <v>303</v>
      </c>
      <c r="AA532" s="35" t="s">
        <v>1412</v>
      </c>
      <c r="AB532" s="32">
        <v>2104</v>
      </c>
      <c r="AC532" s="32" t="s">
        <v>2392</v>
      </c>
      <c r="AE532" s="32">
        <v>90</v>
      </c>
      <c r="AF532" s="32" t="s">
        <v>2393</v>
      </c>
      <c r="AH532" s="32" t="s">
        <v>411</v>
      </c>
      <c r="AI532" s="32" t="s">
        <v>2395</v>
      </c>
      <c r="AJ532" s="36" t="s">
        <v>2394</v>
      </c>
      <c r="AK532" s="40" t="s">
        <v>953</v>
      </c>
      <c r="AL532" s="32">
        <v>2011</v>
      </c>
      <c r="AM532" s="32" t="s">
        <v>954</v>
      </c>
      <c r="AN532" s="32" t="s">
        <v>956</v>
      </c>
      <c r="AO532" s="38" t="s">
        <v>955</v>
      </c>
      <c r="AP532" s="35" t="s">
        <v>396</v>
      </c>
    </row>
    <row r="533" spans="1:42" x14ac:dyDescent="0.2">
      <c r="A533" s="40">
        <v>57</v>
      </c>
      <c r="B533" s="40">
        <v>532</v>
      </c>
      <c r="C533" s="40" t="s">
        <v>119</v>
      </c>
      <c r="D533" s="38" t="s">
        <v>128</v>
      </c>
      <c r="E533" s="32" t="s">
        <v>2186</v>
      </c>
      <c r="F533" s="32" t="s">
        <v>29</v>
      </c>
      <c r="G533" s="38" t="s">
        <v>29</v>
      </c>
      <c r="H533" s="32" t="s">
        <v>151</v>
      </c>
      <c r="I533" s="32" t="s">
        <v>243</v>
      </c>
      <c r="J533" s="32" t="s">
        <v>949</v>
      </c>
      <c r="K533" s="32" t="s">
        <v>129</v>
      </c>
      <c r="L533" s="32" t="s">
        <v>951</v>
      </c>
      <c r="M533" s="32" t="s">
        <v>952</v>
      </c>
      <c r="N533" s="40">
        <v>2007</v>
      </c>
      <c r="O533" s="32">
        <f>VLOOKUP(Data!N71, CPI!$A$2:$B$112, 2, 0)</f>
        <v>232.95699999999999</v>
      </c>
      <c r="P533" s="32" t="s">
        <v>21</v>
      </c>
      <c r="Q533" s="32" t="s">
        <v>239</v>
      </c>
      <c r="R533" s="32" t="s">
        <v>2391</v>
      </c>
      <c r="S533" s="32">
        <v>14239.74</v>
      </c>
      <c r="T533" s="32" t="s">
        <v>307</v>
      </c>
      <c r="U533" s="32">
        <f t="shared" si="31"/>
        <v>609.11435361216729</v>
      </c>
      <c r="V533" s="32" t="s">
        <v>2211</v>
      </c>
      <c r="W533" s="32">
        <f>VLOOKUP(N533, 'Exchange rate-Kenya'!$A$3:$B$65, 2, 0)</f>
        <v>67.317638124285693</v>
      </c>
      <c r="X533" s="32">
        <f t="shared" si="33"/>
        <v>9.0483619239223056</v>
      </c>
      <c r="Y533" s="32">
        <f>(CPI!$B$112/O533)*X533</f>
        <v>11.834053081918103</v>
      </c>
      <c r="Z533" s="38" t="s">
        <v>303</v>
      </c>
      <c r="AA533" s="35" t="s">
        <v>1412</v>
      </c>
      <c r="AB533" s="32">
        <v>2104</v>
      </c>
      <c r="AC533" s="32" t="s">
        <v>2392</v>
      </c>
      <c r="AE533" s="32">
        <v>90</v>
      </c>
      <c r="AF533" s="32" t="s">
        <v>2393</v>
      </c>
      <c r="AH533" s="32" t="s">
        <v>411</v>
      </c>
      <c r="AI533" s="32" t="s">
        <v>2395</v>
      </c>
      <c r="AJ533" s="36" t="s">
        <v>2394</v>
      </c>
      <c r="AK533" s="40" t="s">
        <v>953</v>
      </c>
      <c r="AL533" s="32">
        <v>2011</v>
      </c>
      <c r="AM533" s="32" t="s">
        <v>954</v>
      </c>
      <c r="AN533" s="32" t="s">
        <v>956</v>
      </c>
      <c r="AO533" s="38" t="s">
        <v>955</v>
      </c>
      <c r="AP533" s="35" t="s">
        <v>396</v>
      </c>
    </row>
    <row r="534" spans="1:42" x14ac:dyDescent="0.2">
      <c r="A534" s="40">
        <v>57</v>
      </c>
      <c r="B534" s="40">
        <v>533</v>
      </c>
      <c r="C534" s="40" t="s">
        <v>119</v>
      </c>
      <c r="D534" s="38" t="s">
        <v>128</v>
      </c>
      <c r="E534" s="32" t="s">
        <v>2186</v>
      </c>
      <c r="F534" s="32" t="s">
        <v>29</v>
      </c>
      <c r="G534" s="38" t="s">
        <v>29</v>
      </c>
      <c r="H534" s="32" t="s">
        <v>151</v>
      </c>
      <c r="I534" s="32" t="s">
        <v>243</v>
      </c>
      <c r="J534" s="32" t="s">
        <v>950</v>
      </c>
      <c r="K534" s="32" t="s">
        <v>129</v>
      </c>
      <c r="L534" s="32" t="s">
        <v>951</v>
      </c>
      <c r="M534" s="32" t="s">
        <v>952</v>
      </c>
      <c r="N534" s="40">
        <v>2007</v>
      </c>
      <c r="O534" s="32">
        <f>VLOOKUP(Data!N72, CPI!$A$2:$B$112, 2, 0)</f>
        <v>232.95699999999999</v>
      </c>
      <c r="P534" s="32" t="s">
        <v>21</v>
      </c>
      <c r="Q534" s="32" t="s">
        <v>239</v>
      </c>
      <c r="R534" s="32" t="s">
        <v>2391</v>
      </c>
      <c r="S534" s="32">
        <v>18111.37</v>
      </c>
      <c r="T534" s="32" t="s">
        <v>307</v>
      </c>
      <c r="U534" s="32">
        <f t="shared" si="31"/>
        <v>774.72590304182506</v>
      </c>
      <c r="V534" s="32" t="s">
        <v>2211</v>
      </c>
      <c r="W534" s="32">
        <f>VLOOKUP(N534, 'Exchange rate-Kenya'!$A$3:$B$65, 2, 0)</f>
        <v>67.317638124285693</v>
      </c>
      <c r="X534" s="32">
        <f t="shared" si="33"/>
        <v>11.508512844902276</v>
      </c>
      <c r="Y534" s="32">
        <f>(CPI!$B$112/O534)*X534</f>
        <v>15.051603046562583</v>
      </c>
      <c r="Z534" s="38" t="s">
        <v>303</v>
      </c>
      <c r="AA534" s="35" t="s">
        <v>1412</v>
      </c>
      <c r="AB534" s="32">
        <v>2104</v>
      </c>
      <c r="AC534" s="32" t="s">
        <v>2392</v>
      </c>
      <c r="AE534" s="32">
        <v>90</v>
      </c>
      <c r="AF534" s="32" t="s">
        <v>2393</v>
      </c>
      <c r="AH534" s="32" t="s">
        <v>411</v>
      </c>
      <c r="AI534" s="32" t="s">
        <v>2395</v>
      </c>
      <c r="AJ534" s="36" t="s">
        <v>2394</v>
      </c>
      <c r="AK534" s="40" t="s">
        <v>953</v>
      </c>
      <c r="AL534" s="32">
        <v>2011</v>
      </c>
      <c r="AM534" s="32" t="s">
        <v>954</v>
      </c>
      <c r="AN534" s="32" t="s">
        <v>956</v>
      </c>
      <c r="AO534" s="38" t="s">
        <v>955</v>
      </c>
      <c r="AP534" s="35" t="s">
        <v>396</v>
      </c>
    </row>
    <row r="535" spans="1:42" x14ac:dyDescent="0.2">
      <c r="A535" s="40">
        <v>58</v>
      </c>
      <c r="B535" s="40">
        <v>534</v>
      </c>
      <c r="C535" s="40" t="s">
        <v>241</v>
      </c>
      <c r="D535" s="38" t="s">
        <v>240</v>
      </c>
      <c r="E535" s="32" t="s">
        <v>2184</v>
      </c>
      <c r="F535" s="32" t="s">
        <v>131</v>
      </c>
      <c r="G535" s="38" t="s">
        <v>133</v>
      </c>
      <c r="H535" s="32" t="s">
        <v>115</v>
      </c>
      <c r="I535" s="32" t="s">
        <v>137</v>
      </c>
      <c r="J535" s="32" t="s">
        <v>129</v>
      </c>
      <c r="K535" s="32" t="s">
        <v>129</v>
      </c>
      <c r="L535" s="32" t="s">
        <v>957</v>
      </c>
      <c r="M535" s="32" t="s">
        <v>958</v>
      </c>
      <c r="N535" s="40">
        <v>2009</v>
      </c>
      <c r="O535" s="32">
        <f>VLOOKUP(Data!N503, CPI!$A$2:$B$112, 2, 0)</f>
        <v>218.05600000000001</v>
      </c>
      <c r="P535" s="32" t="s">
        <v>238</v>
      </c>
      <c r="Q535" s="32" t="s">
        <v>250</v>
      </c>
      <c r="R535" s="32" t="s">
        <v>959</v>
      </c>
      <c r="S535" s="32">
        <v>14600000000</v>
      </c>
      <c r="T535" s="32" t="s">
        <v>300</v>
      </c>
      <c r="U535" s="32">
        <f>S535/AB535</f>
        <v>251.72413793103448</v>
      </c>
      <c r="V535" s="32" t="s">
        <v>316</v>
      </c>
      <c r="X535" s="32">
        <f>U535</f>
        <v>251.72413793103448</v>
      </c>
      <c r="Y535" s="32">
        <f>(CPI!$B$112/O535)*X535</f>
        <v>351.71924753906939</v>
      </c>
      <c r="Z535" s="38" t="s">
        <v>262</v>
      </c>
      <c r="AA535" s="35" t="s">
        <v>1446</v>
      </c>
      <c r="AB535" s="32">
        <v>58000000</v>
      </c>
      <c r="AC535" s="32" t="s">
        <v>2396</v>
      </c>
      <c r="AH535" s="32" t="s">
        <v>411</v>
      </c>
      <c r="AJ535" s="35" t="s">
        <v>2278</v>
      </c>
      <c r="AK535" s="40" t="s">
        <v>961</v>
      </c>
      <c r="AL535" s="32">
        <v>2021</v>
      </c>
      <c r="AM535" s="32" t="s">
        <v>962</v>
      </c>
      <c r="AN535" s="32" t="s">
        <v>963</v>
      </c>
      <c r="AO535" s="38" t="s">
        <v>964</v>
      </c>
      <c r="AP535" s="35" t="s">
        <v>396</v>
      </c>
    </row>
    <row r="536" spans="1:42" x14ac:dyDescent="0.2">
      <c r="A536" s="40">
        <v>58</v>
      </c>
      <c r="B536" s="40">
        <v>535</v>
      </c>
      <c r="C536" s="40" t="s">
        <v>241</v>
      </c>
      <c r="D536" s="38" t="s">
        <v>240</v>
      </c>
      <c r="E536" s="32" t="s">
        <v>2184</v>
      </c>
      <c r="F536" s="32" t="s">
        <v>131</v>
      </c>
      <c r="G536" s="38" t="s">
        <v>133</v>
      </c>
      <c r="H536" s="32" t="s">
        <v>115</v>
      </c>
      <c r="I536" s="32" t="s">
        <v>137</v>
      </c>
      <c r="J536" s="32" t="s">
        <v>129</v>
      </c>
      <c r="K536" s="32" t="s">
        <v>129</v>
      </c>
      <c r="L536" s="32" t="s">
        <v>957</v>
      </c>
      <c r="M536" s="32" t="s">
        <v>958</v>
      </c>
      <c r="N536" s="40">
        <v>2016</v>
      </c>
      <c r="O536" s="32">
        <f>VLOOKUP(Data!N504, CPI!$A$2:$B$112, 2, 0)</f>
        <v>218.05600000000001</v>
      </c>
      <c r="P536" s="32" t="s">
        <v>238</v>
      </c>
      <c r="Q536" s="32" t="s">
        <v>250</v>
      </c>
      <c r="R536" s="32" t="s">
        <v>959</v>
      </c>
      <c r="S536" s="32">
        <v>1000000000</v>
      </c>
      <c r="T536" s="32" t="s">
        <v>300</v>
      </c>
      <c r="U536" s="32">
        <f>S536/AB536</f>
        <v>17.241379310344829</v>
      </c>
      <c r="V536" s="32" t="s">
        <v>316</v>
      </c>
      <c r="X536" s="32">
        <f>U536</f>
        <v>17.241379310344829</v>
      </c>
      <c r="Y536" s="32">
        <f>(CPI!$B$112/O536)*X536</f>
        <v>24.090359420484209</v>
      </c>
      <c r="Z536" s="38" t="s">
        <v>262</v>
      </c>
      <c r="AA536" s="35" t="s">
        <v>1446</v>
      </c>
      <c r="AB536" s="32">
        <v>58000000</v>
      </c>
      <c r="AC536" s="32" t="s">
        <v>2396</v>
      </c>
      <c r="AH536" s="32" t="s">
        <v>411</v>
      </c>
      <c r="AJ536" s="35" t="s">
        <v>2278</v>
      </c>
      <c r="AK536" s="40" t="s">
        <v>961</v>
      </c>
      <c r="AL536" s="32">
        <v>2021</v>
      </c>
      <c r="AM536" s="32" t="s">
        <v>962</v>
      </c>
      <c r="AN536" s="32" t="s">
        <v>963</v>
      </c>
      <c r="AO536" s="38" t="s">
        <v>964</v>
      </c>
      <c r="AP536" s="35" t="s">
        <v>396</v>
      </c>
    </row>
    <row r="537" spans="1:42" x14ac:dyDescent="0.2">
      <c r="A537" s="40">
        <v>58</v>
      </c>
      <c r="B537" s="40">
        <v>536</v>
      </c>
      <c r="C537" s="40" t="s">
        <v>241</v>
      </c>
      <c r="D537" s="38" t="s">
        <v>240</v>
      </c>
      <c r="E537" s="32" t="s">
        <v>2184</v>
      </c>
      <c r="F537" s="32" t="s">
        <v>131</v>
      </c>
      <c r="G537" s="38" t="s">
        <v>133</v>
      </c>
      <c r="H537" s="32" t="s">
        <v>115</v>
      </c>
      <c r="I537" s="32" t="s">
        <v>137</v>
      </c>
      <c r="J537" s="32" t="s">
        <v>129</v>
      </c>
      <c r="K537" s="32" t="s">
        <v>129</v>
      </c>
      <c r="L537" s="32" t="s">
        <v>957</v>
      </c>
      <c r="M537" s="32" t="s">
        <v>958</v>
      </c>
      <c r="N537" s="40">
        <v>2028</v>
      </c>
      <c r="O537" s="32">
        <f>VLOOKUP(Data!N505, CPI!$A$2:$B$113, 2, 0)</f>
        <v>245.12</v>
      </c>
      <c r="P537" s="32" t="s">
        <v>238</v>
      </c>
      <c r="Q537" s="32" t="s">
        <v>250</v>
      </c>
      <c r="R537" s="32" t="s">
        <v>959</v>
      </c>
      <c r="S537" s="32">
        <v>6000000000</v>
      </c>
      <c r="T537" s="32" t="s">
        <v>300</v>
      </c>
      <c r="U537" s="32">
        <f>S537/AB537</f>
        <v>103.44827586206897</v>
      </c>
      <c r="V537" s="32" t="s">
        <v>316</v>
      </c>
      <c r="X537" s="32">
        <f>U537</f>
        <v>103.44827586206897</v>
      </c>
      <c r="Y537" s="32">
        <f>(CPI!$B$112/O537)*X537</f>
        <v>128.58307964571893</v>
      </c>
      <c r="Z537" s="38" t="s">
        <v>262</v>
      </c>
      <c r="AA537" s="35" t="s">
        <v>1446</v>
      </c>
      <c r="AB537" s="32">
        <v>58000000</v>
      </c>
      <c r="AC537" s="32" t="s">
        <v>2396</v>
      </c>
      <c r="AH537" s="32" t="s">
        <v>411</v>
      </c>
      <c r="AJ537" s="35" t="s">
        <v>2278</v>
      </c>
      <c r="AK537" s="40" t="s">
        <v>961</v>
      </c>
      <c r="AL537" s="32">
        <v>2021</v>
      </c>
      <c r="AM537" s="32" t="s">
        <v>962</v>
      </c>
      <c r="AN537" s="32" t="s">
        <v>963</v>
      </c>
      <c r="AO537" s="38" t="s">
        <v>964</v>
      </c>
      <c r="AP537" s="35" t="s">
        <v>396</v>
      </c>
    </row>
    <row r="538" spans="1:42" x14ac:dyDescent="0.2">
      <c r="A538" s="40">
        <v>58</v>
      </c>
      <c r="B538" s="40">
        <v>537</v>
      </c>
      <c r="C538" s="40" t="s">
        <v>241</v>
      </c>
      <c r="D538" s="38" t="s">
        <v>240</v>
      </c>
      <c r="E538" s="32" t="s">
        <v>2184</v>
      </c>
      <c r="F538" s="32" t="s">
        <v>131</v>
      </c>
      <c r="G538" s="35" t="s">
        <v>133</v>
      </c>
      <c r="H538" s="32" t="s">
        <v>115</v>
      </c>
      <c r="I538" s="32" t="s">
        <v>137</v>
      </c>
      <c r="J538" s="32" t="s">
        <v>129</v>
      </c>
      <c r="K538" s="32" t="s">
        <v>129</v>
      </c>
      <c r="L538" s="32" t="s">
        <v>957</v>
      </c>
      <c r="M538" s="32" t="s">
        <v>958</v>
      </c>
      <c r="N538" s="40">
        <v>2028</v>
      </c>
      <c r="O538" s="32">
        <f>VLOOKUP(Data!N506, CPI!$A$2:$B$113, 2, 0)</f>
        <v>245.12</v>
      </c>
      <c r="P538" s="32" t="s">
        <v>238</v>
      </c>
      <c r="Q538" s="32" t="s">
        <v>250</v>
      </c>
      <c r="R538" s="32" t="s">
        <v>960</v>
      </c>
      <c r="S538" s="32">
        <v>1000000000</v>
      </c>
      <c r="T538" s="32" t="s">
        <v>300</v>
      </c>
      <c r="U538" s="32">
        <f>S538/AB538</f>
        <v>17.241379310344829</v>
      </c>
      <c r="V538" s="32" t="s">
        <v>316</v>
      </c>
      <c r="X538" s="32">
        <f>U538</f>
        <v>17.241379310344829</v>
      </c>
      <c r="Y538" s="32">
        <f>(CPI!$B$112/O538)*X538</f>
        <v>21.430513274286486</v>
      </c>
      <c r="Z538" s="38" t="s">
        <v>262</v>
      </c>
      <c r="AA538" s="35" t="s">
        <v>1446</v>
      </c>
      <c r="AB538" s="32">
        <v>58000000</v>
      </c>
      <c r="AC538" s="32" t="s">
        <v>2396</v>
      </c>
      <c r="AH538" s="32" t="s">
        <v>411</v>
      </c>
      <c r="AJ538" s="35" t="s">
        <v>2278</v>
      </c>
      <c r="AK538" s="40" t="s">
        <v>961</v>
      </c>
      <c r="AL538" s="32">
        <v>2021</v>
      </c>
      <c r="AM538" s="32" t="s">
        <v>962</v>
      </c>
      <c r="AN538" s="32" t="s">
        <v>963</v>
      </c>
      <c r="AO538" s="38" t="s">
        <v>964</v>
      </c>
      <c r="AP538" s="35" t="s">
        <v>396</v>
      </c>
    </row>
    <row r="539" spans="1:42" x14ac:dyDescent="0.2">
      <c r="A539" s="40">
        <v>59</v>
      </c>
      <c r="B539" s="40">
        <v>538</v>
      </c>
      <c r="C539" s="40" t="s">
        <v>114</v>
      </c>
      <c r="D539" s="38" t="s">
        <v>218</v>
      </c>
      <c r="E539" s="32" t="s">
        <v>2186</v>
      </c>
      <c r="F539" s="32" t="s">
        <v>21</v>
      </c>
      <c r="G539" s="38" t="s">
        <v>163</v>
      </c>
      <c r="H539" s="32" t="s">
        <v>151</v>
      </c>
      <c r="I539" s="32" t="s">
        <v>243</v>
      </c>
      <c r="J539" s="32" t="s">
        <v>965</v>
      </c>
      <c r="K539" s="32" t="s">
        <v>129</v>
      </c>
      <c r="L539" s="32" t="s">
        <v>966</v>
      </c>
      <c r="M539" s="32" t="s">
        <v>967</v>
      </c>
      <c r="N539" s="40">
        <v>2016</v>
      </c>
      <c r="O539" s="32">
        <f>VLOOKUP(Data!N73, CPI!$A$2:$B$112, 2, 0)</f>
        <v>232.95699999999999</v>
      </c>
      <c r="P539" s="32" t="s">
        <v>122</v>
      </c>
      <c r="Q539" s="32" t="s">
        <v>239</v>
      </c>
      <c r="R539" s="32" t="s">
        <v>968</v>
      </c>
      <c r="S539" s="57">
        <f>21902.5*2.47105</f>
        <v>54122.172624999999</v>
      </c>
      <c r="T539" s="32" t="s">
        <v>2211</v>
      </c>
      <c r="U539" s="57">
        <f>21902.5*2.47105</f>
        <v>54122.172624999999</v>
      </c>
      <c r="V539" s="32" t="s">
        <v>2211</v>
      </c>
      <c r="W539" s="32">
        <f>VLOOKUP(N539, 'Exchange rate-Kenya'!$A$3:$B$65, 2, 0)</f>
        <v>101.504369498594</v>
      </c>
      <c r="X539" s="32">
        <f t="shared" ref="X539:X552" si="34">U539/W539</f>
        <v>533.20042173898412</v>
      </c>
      <c r="Y539" s="32">
        <f>(CPI!$B$112/O539)*X539</f>
        <v>697.35518397842964</v>
      </c>
      <c r="Z539" s="38" t="s">
        <v>303</v>
      </c>
      <c r="AA539" s="35" t="s">
        <v>1445</v>
      </c>
      <c r="AB539" s="32">
        <v>5319</v>
      </c>
      <c r="AC539" s="32" t="s">
        <v>2397</v>
      </c>
      <c r="AH539" s="32" t="s">
        <v>411</v>
      </c>
      <c r="AI539" s="32" t="s">
        <v>1539</v>
      </c>
      <c r="AJ539" s="35" t="s">
        <v>2278</v>
      </c>
      <c r="AK539" s="40" t="s">
        <v>981</v>
      </c>
      <c r="AL539" s="32">
        <v>2016</v>
      </c>
      <c r="AM539" s="32" t="s">
        <v>978</v>
      </c>
      <c r="AN539" s="32" t="s">
        <v>979</v>
      </c>
      <c r="AO539" s="38" t="s">
        <v>980</v>
      </c>
      <c r="AP539" s="35" t="s">
        <v>396</v>
      </c>
    </row>
    <row r="540" spans="1:42" x14ac:dyDescent="0.2">
      <c r="A540" s="40">
        <v>59</v>
      </c>
      <c r="B540" s="40">
        <v>539</v>
      </c>
      <c r="C540" s="40" t="s">
        <v>114</v>
      </c>
      <c r="D540" s="38" t="s">
        <v>218</v>
      </c>
      <c r="E540" s="32" t="s">
        <v>2184</v>
      </c>
      <c r="F540" s="32" t="s">
        <v>145</v>
      </c>
      <c r="G540" s="38" t="s">
        <v>146</v>
      </c>
      <c r="H540" s="32" t="s">
        <v>151</v>
      </c>
      <c r="I540" s="32" t="s">
        <v>243</v>
      </c>
      <c r="J540" s="32" t="s">
        <v>965</v>
      </c>
      <c r="K540" s="32" t="s">
        <v>129</v>
      </c>
      <c r="L540" s="32" t="s">
        <v>966</v>
      </c>
      <c r="M540" s="32" t="s">
        <v>967</v>
      </c>
      <c r="N540" s="40">
        <v>2008</v>
      </c>
      <c r="O540" s="32">
        <f>VLOOKUP(Data!N74, CPI!$A$2:$B$112, 2, 0)</f>
        <v>232.95699999999999</v>
      </c>
      <c r="P540" s="32" t="s">
        <v>21</v>
      </c>
      <c r="Q540" s="32" t="s">
        <v>239</v>
      </c>
      <c r="R540" s="32" t="s">
        <v>2177</v>
      </c>
      <c r="S540" s="32">
        <f>12965*2.47105</f>
        <v>32037.163249999998</v>
      </c>
      <c r="T540" s="32" t="s">
        <v>2211</v>
      </c>
      <c r="U540" s="32">
        <f>12965*2.47105</f>
        <v>32037.163249999998</v>
      </c>
      <c r="V540" s="32" t="s">
        <v>2211</v>
      </c>
      <c r="W540" s="32">
        <f>VLOOKUP(N540, 'Exchange rate-Kenya'!$A$3:$B$65, 2, 0)</f>
        <v>69.175319816225993</v>
      </c>
      <c r="X540" s="32">
        <f t="shared" si="34"/>
        <v>463.12996217597902</v>
      </c>
      <c r="Y540" s="32">
        <f>(CPI!$B$112/O540)*X540</f>
        <v>605.71234907472297</v>
      </c>
      <c r="Z540" s="38" t="s">
        <v>303</v>
      </c>
      <c r="AA540" s="35" t="s">
        <v>1445</v>
      </c>
      <c r="AB540" s="32">
        <v>5319</v>
      </c>
      <c r="AC540" s="32" t="s">
        <v>2397</v>
      </c>
      <c r="AH540" s="32" t="s">
        <v>411</v>
      </c>
      <c r="AI540" s="32" t="s">
        <v>2181</v>
      </c>
      <c r="AJ540" s="35" t="s">
        <v>2278</v>
      </c>
      <c r="AK540" s="40" t="s">
        <v>981</v>
      </c>
      <c r="AL540" s="32">
        <v>2016</v>
      </c>
      <c r="AM540" s="32" t="s">
        <v>978</v>
      </c>
      <c r="AN540" s="32" t="s">
        <v>979</v>
      </c>
      <c r="AO540" s="38" t="s">
        <v>980</v>
      </c>
      <c r="AP540" s="35" t="s">
        <v>396</v>
      </c>
    </row>
    <row r="541" spans="1:42" x14ac:dyDescent="0.2">
      <c r="A541" s="40">
        <v>59</v>
      </c>
      <c r="B541" s="40">
        <v>540</v>
      </c>
      <c r="C541" s="40" t="s">
        <v>114</v>
      </c>
      <c r="D541" s="38" t="s">
        <v>218</v>
      </c>
      <c r="E541" s="32" t="s">
        <v>2184</v>
      </c>
      <c r="F541" s="32" t="s">
        <v>43</v>
      </c>
      <c r="G541" s="38" t="s">
        <v>2930</v>
      </c>
      <c r="H541" s="32" t="s">
        <v>151</v>
      </c>
      <c r="I541" s="32" t="s">
        <v>243</v>
      </c>
      <c r="J541" s="32" t="s">
        <v>965</v>
      </c>
      <c r="K541" s="32" t="s">
        <v>129</v>
      </c>
      <c r="L541" s="32" t="s">
        <v>966</v>
      </c>
      <c r="M541" s="32" t="s">
        <v>967</v>
      </c>
      <c r="N541" s="40">
        <v>2008</v>
      </c>
      <c r="O541" s="32">
        <f>VLOOKUP(Data!N75, CPI!$A$2:$B$112, 2, 0)</f>
        <v>232.95699999999999</v>
      </c>
      <c r="P541" s="32" t="s">
        <v>21</v>
      </c>
      <c r="Q541" s="32" t="s">
        <v>239</v>
      </c>
      <c r="R541" s="32" t="s">
        <v>2178</v>
      </c>
      <c r="S541" s="32">
        <f>11815*2.47105</f>
        <v>29195.455750000001</v>
      </c>
      <c r="T541" s="32" t="s">
        <v>2211</v>
      </c>
      <c r="U541" s="32">
        <f>11815*2.47105</f>
        <v>29195.455750000001</v>
      </c>
      <c r="V541" s="32" t="s">
        <v>2211</v>
      </c>
      <c r="W541" s="32">
        <f>VLOOKUP(N541, 'Exchange rate-Kenya'!$A$3:$B$65, 2, 0)</f>
        <v>69.175319816225993</v>
      </c>
      <c r="X541" s="32">
        <f t="shared" si="34"/>
        <v>422.05017378397167</v>
      </c>
      <c r="Y541" s="32">
        <f>(CPI!$B$112/O541)*X541</f>
        <v>551.98545347611662</v>
      </c>
      <c r="Z541" s="38" t="s">
        <v>303</v>
      </c>
      <c r="AA541" s="35" t="s">
        <v>1445</v>
      </c>
      <c r="AB541" s="32">
        <v>5319</v>
      </c>
      <c r="AC541" s="32" t="s">
        <v>2397</v>
      </c>
      <c r="AH541" s="32" t="s">
        <v>411</v>
      </c>
      <c r="AI541" s="32" t="s">
        <v>2181</v>
      </c>
      <c r="AJ541" s="35" t="s">
        <v>2278</v>
      </c>
      <c r="AK541" s="40" t="s">
        <v>981</v>
      </c>
      <c r="AL541" s="32">
        <v>2016</v>
      </c>
      <c r="AM541" s="32" t="s">
        <v>978</v>
      </c>
      <c r="AN541" s="32" t="s">
        <v>979</v>
      </c>
      <c r="AO541" s="38" t="s">
        <v>980</v>
      </c>
      <c r="AP541" s="35" t="s">
        <v>396</v>
      </c>
    </row>
    <row r="542" spans="1:42" x14ac:dyDescent="0.2">
      <c r="A542" s="40">
        <v>59</v>
      </c>
      <c r="B542" s="40">
        <v>541</v>
      </c>
      <c r="C542" s="40" t="s">
        <v>114</v>
      </c>
      <c r="D542" s="38" t="s">
        <v>218</v>
      </c>
      <c r="E542" s="32" t="s">
        <v>2184</v>
      </c>
      <c r="F542" s="32" t="s">
        <v>40</v>
      </c>
      <c r="G542" s="35" t="s">
        <v>18</v>
      </c>
      <c r="H542" s="32" t="s">
        <v>151</v>
      </c>
      <c r="I542" s="32" t="s">
        <v>243</v>
      </c>
      <c r="J542" s="32" t="s">
        <v>965</v>
      </c>
      <c r="K542" s="32" t="s">
        <v>129</v>
      </c>
      <c r="L542" s="32" t="s">
        <v>966</v>
      </c>
      <c r="M542" s="32" t="s">
        <v>967</v>
      </c>
      <c r="N542" s="40">
        <v>2008</v>
      </c>
      <c r="O542" s="32">
        <f>VLOOKUP(Data!N76, CPI!$A$2:$B$112, 2, 0)</f>
        <v>232.95699999999999</v>
      </c>
      <c r="P542" s="32" t="s">
        <v>21</v>
      </c>
      <c r="Q542" s="32" t="s">
        <v>239</v>
      </c>
      <c r="R542" s="32" t="s">
        <v>2179</v>
      </c>
      <c r="S542" s="32">
        <f>11215*2.47105</f>
        <v>27712.82575</v>
      </c>
      <c r="T542" s="32" t="s">
        <v>2211</v>
      </c>
      <c r="U542" s="32">
        <f>11215*2.47105</f>
        <v>27712.82575</v>
      </c>
      <c r="V542" s="32" t="s">
        <v>2211</v>
      </c>
      <c r="W542" s="32">
        <f>VLOOKUP(N542, 'Exchange rate-Kenya'!$A$3:$B$65, 2, 0)</f>
        <v>69.175319816225993</v>
      </c>
      <c r="X542" s="32">
        <f t="shared" si="34"/>
        <v>400.61724070988083</v>
      </c>
      <c r="Y542" s="32">
        <f>(CPI!$B$112/O542)*X542</f>
        <v>523.95402968553935</v>
      </c>
      <c r="Z542" s="38" t="s">
        <v>303</v>
      </c>
      <c r="AA542" s="35" t="s">
        <v>1445</v>
      </c>
      <c r="AB542" s="32">
        <v>5319</v>
      </c>
      <c r="AC542" s="32" t="s">
        <v>2397</v>
      </c>
      <c r="AH542" s="32" t="s">
        <v>411</v>
      </c>
      <c r="AI542" s="32" t="s">
        <v>2181</v>
      </c>
      <c r="AJ542" s="35" t="s">
        <v>2278</v>
      </c>
      <c r="AK542" s="40" t="s">
        <v>981</v>
      </c>
      <c r="AL542" s="32">
        <v>2016</v>
      </c>
      <c r="AM542" s="32" t="s">
        <v>978</v>
      </c>
      <c r="AN542" s="32" t="s">
        <v>979</v>
      </c>
      <c r="AO542" s="38" t="s">
        <v>980</v>
      </c>
      <c r="AP542" s="35" t="s">
        <v>396</v>
      </c>
    </row>
    <row r="543" spans="1:42" x14ac:dyDescent="0.2">
      <c r="A543" s="40">
        <v>59</v>
      </c>
      <c r="B543" s="40">
        <v>542</v>
      </c>
      <c r="C543" s="40" t="s">
        <v>114</v>
      </c>
      <c r="D543" s="38" t="s">
        <v>218</v>
      </c>
      <c r="E543" s="32" t="s">
        <v>2184</v>
      </c>
      <c r="F543" s="32" t="s">
        <v>36</v>
      </c>
      <c r="G543" s="38" t="s">
        <v>22</v>
      </c>
      <c r="H543" s="32" t="s">
        <v>151</v>
      </c>
      <c r="I543" s="32" t="s">
        <v>243</v>
      </c>
      <c r="J543" s="32" t="s">
        <v>965</v>
      </c>
      <c r="K543" s="32" t="s">
        <v>129</v>
      </c>
      <c r="L543" s="32" t="s">
        <v>966</v>
      </c>
      <c r="M543" s="32" t="s">
        <v>967</v>
      </c>
      <c r="N543" s="40">
        <v>2008</v>
      </c>
      <c r="O543" s="32">
        <f>VLOOKUP(Data!N77, CPI!$A$2:$B$112, 2, 0)</f>
        <v>232.95699999999999</v>
      </c>
      <c r="P543" s="32" t="s">
        <v>21</v>
      </c>
      <c r="Q543" s="32" t="s">
        <v>239</v>
      </c>
      <c r="R543" s="32" t="s">
        <v>2180</v>
      </c>
      <c r="S543" s="32">
        <f>3801*2.47105</f>
        <v>9392.4610499999999</v>
      </c>
      <c r="T543" s="32" t="s">
        <v>2211</v>
      </c>
      <c r="U543" s="32">
        <f>3801*2.47105</f>
        <v>9392.4610499999999</v>
      </c>
      <c r="V543" s="32" t="s">
        <v>2211</v>
      </c>
      <c r="W543" s="32">
        <f>VLOOKUP(N543, 'Exchange rate-Kenya'!$A$3:$B$65, 2, 0)</f>
        <v>69.175319816225993</v>
      </c>
      <c r="X543" s="32">
        <f t="shared" si="34"/>
        <v>135.77763102436532</v>
      </c>
      <c r="Y543" s="32">
        <f>(CPI!$B$112/O543)*X543</f>
        <v>177.57906971330675</v>
      </c>
      <c r="Z543" s="38" t="s">
        <v>303</v>
      </c>
      <c r="AA543" s="35" t="s">
        <v>1445</v>
      </c>
      <c r="AB543" s="32">
        <v>5319</v>
      </c>
      <c r="AC543" s="32" t="s">
        <v>2397</v>
      </c>
      <c r="AH543" s="32" t="s">
        <v>411</v>
      </c>
      <c r="AI543" s="32" t="s">
        <v>2181</v>
      </c>
      <c r="AJ543" s="35" t="s">
        <v>2278</v>
      </c>
      <c r="AK543" s="40" t="s">
        <v>981</v>
      </c>
      <c r="AL543" s="32">
        <v>2016</v>
      </c>
      <c r="AM543" s="32" t="s">
        <v>978</v>
      </c>
      <c r="AN543" s="32" t="s">
        <v>979</v>
      </c>
      <c r="AO543" s="38" t="s">
        <v>980</v>
      </c>
      <c r="AP543" s="35" t="s">
        <v>396</v>
      </c>
    </row>
    <row r="544" spans="1:42" x14ac:dyDescent="0.2">
      <c r="A544" s="40">
        <v>59</v>
      </c>
      <c r="B544" s="40">
        <v>543</v>
      </c>
      <c r="C544" s="40" t="s">
        <v>114</v>
      </c>
      <c r="D544" s="38" t="s">
        <v>218</v>
      </c>
      <c r="E544" s="32" t="s">
        <v>2186</v>
      </c>
      <c r="F544" s="32" t="s">
        <v>21</v>
      </c>
      <c r="G544" s="38" t="s">
        <v>163</v>
      </c>
      <c r="H544" s="32" t="s">
        <v>151</v>
      </c>
      <c r="I544" s="32" t="s">
        <v>243</v>
      </c>
      <c r="J544" s="32" t="s">
        <v>965</v>
      </c>
      <c r="K544" s="32" t="s">
        <v>129</v>
      </c>
      <c r="L544" s="32" t="s">
        <v>966</v>
      </c>
      <c r="M544" s="32" t="s">
        <v>967</v>
      </c>
      <c r="N544" s="40">
        <v>2016</v>
      </c>
      <c r="O544" s="32">
        <f>VLOOKUP(Data!N78, CPI!$A$2:$B$112, 2, 0)</f>
        <v>232.95699999999999</v>
      </c>
      <c r="P544" s="32" t="s">
        <v>122</v>
      </c>
      <c r="Q544" s="32" t="s">
        <v>239</v>
      </c>
      <c r="R544" s="32" t="s">
        <v>969</v>
      </c>
      <c r="S544" s="32">
        <f>9125*2.47105</f>
        <v>22548.331249999999</v>
      </c>
      <c r="T544" s="32" t="s">
        <v>2211</v>
      </c>
      <c r="U544" s="32">
        <f>9125*2.47105</f>
        <v>22548.331249999999</v>
      </c>
      <c r="V544" s="32" t="s">
        <v>2211</v>
      </c>
      <c r="W544" s="32">
        <f>VLOOKUP(N544, 'Exchange rate-Kenya'!$A$3:$B$65, 2, 0)</f>
        <v>101.504369498594</v>
      </c>
      <c r="X544" s="32">
        <f t="shared" si="34"/>
        <v>222.14148377437417</v>
      </c>
      <c r="Y544" s="32">
        <f>(CPI!$B$112/O544)*X544</f>
        <v>290.53149429531658</v>
      </c>
      <c r="Z544" s="38" t="s">
        <v>303</v>
      </c>
      <c r="AA544" s="35" t="s">
        <v>1445</v>
      </c>
      <c r="AB544" s="32">
        <v>5319</v>
      </c>
      <c r="AC544" s="32" t="s">
        <v>2397</v>
      </c>
      <c r="AH544" s="32" t="s">
        <v>411</v>
      </c>
      <c r="AJ544" s="35" t="s">
        <v>2278</v>
      </c>
      <c r="AK544" s="40" t="s">
        <v>981</v>
      </c>
      <c r="AL544" s="32">
        <v>2016</v>
      </c>
      <c r="AM544" s="32" t="s">
        <v>978</v>
      </c>
      <c r="AN544" s="32" t="s">
        <v>979</v>
      </c>
      <c r="AO544" s="38" t="s">
        <v>980</v>
      </c>
      <c r="AP544" s="35" t="s">
        <v>396</v>
      </c>
    </row>
    <row r="545" spans="1:42" x14ac:dyDescent="0.2">
      <c r="A545" s="40">
        <v>59</v>
      </c>
      <c r="B545" s="40">
        <v>544</v>
      </c>
      <c r="C545" s="40" t="s">
        <v>114</v>
      </c>
      <c r="D545" s="38" t="s">
        <v>218</v>
      </c>
      <c r="E545" s="32" t="s">
        <v>2186</v>
      </c>
      <c r="F545" s="32" t="s">
        <v>21</v>
      </c>
      <c r="G545" s="38" t="s">
        <v>163</v>
      </c>
      <c r="H545" s="32" t="s">
        <v>151</v>
      </c>
      <c r="I545" s="32" t="s">
        <v>243</v>
      </c>
      <c r="J545" s="32" t="s">
        <v>965</v>
      </c>
      <c r="K545" s="32" t="s">
        <v>129</v>
      </c>
      <c r="L545" s="32" t="s">
        <v>966</v>
      </c>
      <c r="M545" s="32" t="s">
        <v>967</v>
      </c>
      <c r="N545" s="40">
        <v>2016</v>
      </c>
      <c r="O545" s="32">
        <f>VLOOKUP(Data!N79, CPI!$A$2:$B$112, 2, 0)</f>
        <v>232.95699999999999</v>
      </c>
      <c r="P545" s="32" t="s">
        <v>122</v>
      </c>
      <c r="Q545" s="32" t="s">
        <v>239</v>
      </c>
      <c r="R545" s="32" t="s">
        <v>970</v>
      </c>
      <c r="S545" s="32">
        <f>8835.5*2.47105</f>
        <v>21832.962274999998</v>
      </c>
      <c r="T545" s="32" t="s">
        <v>2211</v>
      </c>
      <c r="U545" s="32">
        <f>8835.5*2.47105</f>
        <v>21832.962274999998</v>
      </c>
      <c r="V545" s="32" t="s">
        <v>2211</v>
      </c>
      <c r="W545" s="32">
        <f>VLOOKUP(N545, 'Exchange rate-Kenya'!$A$3:$B$65, 2, 0)</f>
        <v>101.504369498594</v>
      </c>
      <c r="X545" s="32">
        <f t="shared" si="34"/>
        <v>215.09381697408031</v>
      </c>
      <c r="Y545" s="32">
        <f>(CPI!$B$112/O545)*X545</f>
        <v>281.31408414753633</v>
      </c>
      <c r="Z545" s="38" t="s">
        <v>303</v>
      </c>
      <c r="AA545" s="35" t="s">
        <v>1445</v>
      </c>
      <c r="AB545" s="32">
        <v>5319</v>
      </c>
      <c r="AC545" s="32" t="s">
        <v>2397</v>
      </c>
      <c r="AH545" s="32" t="s">
        <v>411</v>
      </c>
      <c r="AJ545" s="35" t="s">
        <v>2278</v>
      </c>
      <c r="AK545" s="40" t="s">
        <v>981</v>
      </c>
      <c r="AL545" s="32">
        <v>2016</v>
      </c>
      <c r="AM545" s="32" t="s">
        <v>978</v>
      </c>
      <c r="AN545" s="32" t="s">
        <v>979</v>
      </c>
      <c r="AO545" s="38" t="s">
        <v>980</v>
      </c>
      <c r="AP545" s="35" t="s">
        <v>396</v>
      </c>
    </row>
    <row r="546" spans="1:42" x14ac:dyDescent="0.2">
      <c r="A546" s="40">
        <v>59</v>
      </c>
      <c r="B546" s="40">
        <v>545</v>
      </c>
      <c r="C546" s="40" t="s">
        <v>114</v>
      </c>
      <c r="D546" s="38" t="s">
        <v>218</v>
      </c>
      <c r="E546" s="32" t="s">
        <v>2186</v>
      </c>
      <c r="F546" s="32" t="s">
        <v>21</v>
      </c>
      <c r="G546" s="38" t="s">
        <v>163</v>
      </c>
      <c r="H546" s="32" t="s">
        <v>151</v>
      </c>
      <c r="I546" s="32" t="s">
        <v>243</v>
      </c>
      <c r="J546" s="32" t="s">
        <v>965</v>
      </c>
      <c r="K546" s="32" t="s">
        <v>129</v>
      </c>
      <c r="L546" s="32" t="s">
        <v>966</v>
      </c>
      <c r="M546" s="32" t="s">
        <v>967</v>
      </c>
      <c r="N546" s="40">
        <v>2016</v>
      </c>
      <c r="O546" s="32">
        <f>VLOOKUP(Data!N80, CPI!$A$2:$B$112, 2, 0)</f>
        <v>188.9</v>
      </c>
      <c r="P546" s="32" t="s">
        <v>122</v>
      </c>
      <c r="Q546" s="32" t="s">
        <v>239</v>
      </c>
      <c r="R546" s="32" t="s">
        <v>971</v>
      </c>
      <c r="S546" s="57">
        <f>16534*2.47105</f>
        <v>40856.340700000001</v>
      </c>
      <c r="T546" s="32" t="s">
        <v>2211</v>
      </c>
      <c r="U546" s="57">
        <f>16534*2.47105</f>
        <v>40856.340700000001</v>
      </c>
      <c r="V546" s="32" t="s">
        <v>2211</v>
      </c>
      <c r="W546" s="32">
        <f>VLOOKUP(N546, 'Exchange rate-Kenya'!$A$3:$B$65, 2, 0)</f>
        <v>101.504369498594</v>
      </c>
      <c r="X546" s="32">
        <f t="shared" si="34"/>
        <v>402.50819646306877</v>
      </c>
      <c r="Y546" s="32">
        <f>(CPI!$B$112/O546)*X546</f>
        <v>649.20534222725939</v>
      </c>
      <c r="Z546" s="38" t="s">
        <v>303</v>
      </c>
      <c r="AA546" s="35" t="s">
        <v>1445</v>
      </c>
      <c r="AB546" s="32">
        <v>5319</v>
      </c>
      <c r="AC546" s="32" t="s">
        <v>2397</v>
      </c>
      <c r="AH546" s="32" t="s">
        <v>411</v>
      </c>
      <c r="AJ546" s="35" t="s">
        <v>2278</v>
      </c>
      <c r="AK546" s="40" t="s">
        <v>981</v>
      </c>
      <c r="AL546" s="32">
        <v>2016</v>
      </c>
      <c r="AM546" s="32" t="s">
        <v>978</v>
      </c>
      <c r="AN546" s="32" t="s">
        <v>979</v>
      </c>
      <c r="AO546" s="38" t="s">
        <v>980</v>
      </c>
      <c r="AP546" s="35" t="s">
        <v>396</v>
      </c>
    </row>
    <row r="547" spans="1:42" x14ac:dyDescent="0.2">
      <c r="A547" s="40">
        <v>59</v>
      </c>
      <c r="B547" s="40">
        <v>546</v>
      </c>
      <c r="C547" s="40" t="s">
        <v>114</v>
      </c>
      <c r="D547" s="38" t="s">
        <v>218</v>
      </c>
      <c r="E547" s="32" t="s">
        <v>2186</v>
      </c>
      <c r="F547" s="32" t="s">
        <v>21</v>
      </c>
      <c r="G547" s="38" t="s">
        <v>163</v>
      </c>
      <c r="H547" s="32" t="s">
        <v>151</v>
      </c>
      <c r="I547" s="32" t="s">
        <v>243</v>
      </c>
      <c r="J547" s="32" t="s">
        <v>965</v>
      </c>
      <c r="K547" s="32" t="s">
        <v>129</v>
      </c>
      <c r="L547" s="32" t="s">
        <v>966</v>
      </c>
      <c r="M547" s="32" t="s">
        <v>967</v>
      </c>
      <c r="N547" s="40">
        <v>2016</v>
      </c>
      <c r="O547" s="32">
        <f>VLOOKUP(Data!N81, CPI!$A$2:$B$112, 2, 0)</f>
        <v>188.9</v>
      </c>
      <c r="P547" s="32" t="s">
        <v>122</v>
      </c>
      <c r="Q547" s="32" t="s">
        <v>239</v>
      </c>
      <c r="R547" s="32" t="s">
        <v>972</v>
      </c>
      <c r="S547" s="57">
        <f>11755.5*2.47105</f>
        <v>29048.428274999998</v>
      </c>
      <c r="T547" s="32" t="s">
        <v>2211</v>
      </c>
      <c r="U547" s="57">
        <f>11755.5*2.47105</f>
        <v>29048.428274999998</v>
      </c>
      <c r="V547" s="32" t="s">
        <v>2211</v>
      </c>
      <c r="W547" s="32">
        <f>VLOOKUP(N547, 'Exchange rate-Kenya'!$A$3:$B$65, 2, 0)</f>
        <v>101.504369498594</v>
      </c>
      <c r="X547" s="32">
        <f t="shared" si="34"/>
        <v>286.17909178188006</v>
      </c>
      <c r="Y547" s="32">
        <f>(CPI!$B$112/O547)*X547</f>
        <v>461.57816623639457</v>
      </c>
      <c r="Z547" s="38" t="s">
        <v>303</v>
      </c>
      <c r="AA547" s="35" t="s">
        <v>1445</v>
      </c>
      <c r="AB547" s="32">
        <v>5319</v>
      </c>
      <c r="AC547" s="32" t="s">
        <v>2397</v>
      </c>
      <c r="AH547" s="32" t="s">
        <v>411</v>
      </c>
      <c r="AJ547" s="35" t="s">
        <v>2278</v>
      </c>
      <c r="AK547" s="40" t="s">
        <v>981</v>
      </c>
      <c r="AL547" s="32">
        <v>2016</v>
      </c>
      <c r="AM547" s="32" t="s">
        <v>978</v>
      </c>
      <c r="AN547" s="32" t="s">
        <v>979</v>
      </c>
      <c r="AO547" s="38" t="s">
        <v>980</v>
      </c>
      <c r="AP547" s="35" t="s">
        <v>396</v>
      </c>
    </row>
    <row r="548" spans="1:42" x14ac:dyDescent="0.2">
      <c r="A548" s="40">
        <v>59</v>
      </c>
      <c r="B548" s="40">
        <v>547</v>
      </c>
      <c r="C548" s="40" t="s">
        <v>114</v>
      </c>
      <c r="D548" s="38" t="s">
        <v>218</v>
      </c>
      <c r="E548" s="32" t="s">
        <v>2186</v>
      </c>
      <c r="F548" s="32" t="s">
        <v>21</v>
      </c>
      <c r="G548" s="38" t="s">
        <v>163</v>
      </c>
      <c r="H548" s="32" t="s">
        <v>151</v>
      </c>
      <c r="I548" s="32" t="s">
        <v>243</v>
      </c>
      <c r="J548" s="32" t="s">
        <v>965</v>
      </c>
      <c r="K548" s="32" t="s">
        <v>129</v>
      </c>
      <c r="L548" s="32" t="s">
        <v>966</v>
      </c>
      <c r="M548" s="32" t="s">
        <v>967</v>
      </c>
      <c r="N548" s="40">
        <v>2016</v>
      </c>
      <c r="O548" s="32">
        <f>VLOOKUP(Data!N82, CPI!$A$2:$B$112, 2, 0)</f>
        <v>188.9</v>
      </c>
      <c r="P548" s="32" t="s">
        <v>122</v>
      </c>
      <c r="Q548" s="32" t="s">
        <v>239</v>
      </c>
      <c r="R548" s="32" t="s">
        <v>973</v>
      </c>
      <c r="S548" s="32">
        <f>9821.5*2.47105</f>
        <v>24269.417574999999</v>
      </c>
      <c r="T548" s="32" t="s">
        <v>2211</v>
      </c>
      <c r="U548" s="32">
        <f>9821.5*2.47105</f>
        <v>24269.417574999999</v>
      </c>
      <c r="V548" s="32" t="s">
        <v>2211</v>
      </c>
      <c r="W548" s="32">
        <f>VLOOKUP(N548, 'Exchange rate-Kenya'!$A$3:$B$65, 2, 0)</f>
        <v>101.504369498594</v>
      </c>
      <c r="X548" s="32">
        <f t="shared" si="34"/>
        <v>239.09726935780995</v>
      </c>
      <c r="Y548" s="32">
        <f>(CPI!$B$112/O548)*X548</f>
        <v>385.63990980313463</v>
      </c>
      <c r="Z548" s="38" t="s">
        <v>303</v>
      </c>
      <c r="AA548" s="35" t="s">
        <v>1445</v>
      </c>
      <c r="AB548" s="32">
        <v>5319</v>
      </c>
      <c r="AC548" s="32" t="s">
        <v>2397</v>
      </c>
      <c r="AH548" s="32" t="s">
        <v>411</v>
      </c>
      <c r="AJ548" s="35" t="s">
        <v>2278</v>
      </c>
      <c r="AK548" s="40" t="s">
        <v>981</v>
      </c>
      <c r="AL548" s="32">
        <v>2016</v>
      </c>
      <c r="AM548" s="32" t="s">
        <v>978</v>
      </c>
      <c r="AN548" s="32" t="s">
        <v>979</v>
      </c>
      <c r="AO548" s="38" t="s">
        <v>980</v>
      </c>
      <c r="AP548" s="35" t="s">
        <v>396</v>
      </c>
    </row>
    <row r="549" spans="1:42" x14ac:dyDescent="0.2">
      <c r="A549" s="40">
        <v>59</v>
      </c>
      <c r="B549" s="40">
        <v>548</v>
      </c>
      <c r="C549" s="40" t="s">
        <v>114</v>
      </c>
      <c r="D549" s="38" t="s">
        <v>218</v>
      </c>
      <c r="E549" s="32" t="s">
        <v>2186</v>
      </c>
      <c r="F549" s="32" t="s">
        <v>21</v>
      </c>
      <c r="G549" s="38" t="s">
        <v>163</v>
      </c>
      <c r="H549" s="32" t="s">
        <v>151</v>
      </c>
      <c r="I549" s="32" t="s">
        <v>243</v>
      </c>
      <c r="J549" s="32" t="s">
        <v>965</v>
      </c>
      <c r="K549" s="32" t="s">
        <v>129</v>
      </c>
      <c r="L549" s="32" t="s">
        <v>966</v>
      </c>
      <c r="M549" s="32" t="s">
        <v>967</v>
      </c>
      <c r="N549" s="40">
        <v>2016</v>
      </c>
      <c r="O549" s="32">
        <f>VLOOKUP(Data!N83, CPI!$A$2:$B$112, 2, 0)</f>
        <v>188.9</v>
      </c>
      <c r="P549" s="32" t="s">
        <v>122</v>
      </c>
      <c r="Q549" s="32" t="s">
        <v>239</v>
      </c>
      <c r="R549" s="32" t="s">
        <v>974</v>
      </c>
      <c r="S549" s="57">
        <f>14020.5*2.47105</f>
        <v>34645.356525000003</v>
      </c>
      <c r="T549" s="32" t="s">
        <v>2211</v>
      </c>
      <c r="U549" s="57">
        <f>14020.5*2.47105</f>
        <v>34645.356525000003</v>
      </c>
      <c r="V549" s="32" t="s">
        <v>2211</v>
      </c>
      <c r="W549" s="32">
        <f>VLOOKUP(N549, 'Exchange rate-Kenya'!$A$3:$B$65, 2, 0)</f>
        <v>101.504369498594</v>
      </c>
      <c r="X549" s="32">
        <f t="shared" si="34"/>
        <v>341.31886830231377</v>
      </c>
      <c r="Y549" s="32">
        <f>(CPI!$B$112/O549)*X549</f>
        <v>550.51309427224453</v>
      </c>
      <c r="Z549" s="38" t="s">
        <v>303</v>
      </c>
      <c r="AA549" s="35" t="s">
        <v>1445</v>
      </c>
      <c r="AB549" s="32">
        <v>5319</v>
      </c>
      <c r="AC549" s="32" t="s">
        <v>2397</v>
      </c>
      <c r="AH549" s="32" t="s">
        <v>411</v>
      </c>
      <c r="AJ549" s="35" t="s">
        <v>2278</v>
      </c>
      <c r="AK549" s="40" t="s">
        <v>981</v>
      </c>
      <c r="AL549" s="32">
        <v>2016</v>
      </c>
      <c r="AM549" s="32" t="s">
        <v>978</v>
      </c>
      <c r="AN549" s="32" t="s">
        <v>979</v>
      </c>
      <c r="AO549" s="38" t="s">
        <v>980</v>
      </c>
      <c r="AP549" s="35" t="s">
        <v>396</v>
      </c>
    </row>
    <row r="550" spans="1:42" x14ac:dyDescent="0.2">
      <c r="A550" s="40">
        <v>59</v>
      </c>
      <c r="B550" s="40">
        <v>549</v>
      </c>
      <c r="C550" s="40" t="s">
        <v>114</v>
      </c>
      <c r="D550" s="38" t="s">
        <v>218</v>
      </c>
      <c r="E550" s="32" t="s">
        <v>2186</v>
      </c>
      <c r="F550" s="32" t="s">
        <v>21</v>
      </c>
      <c r="G550" s="38" t="s">
        <v>163</v>
      </c>
      <c r="H550" s="32" t="s">
        <v>151</v>
      </c>
      <c r="I550" s="32" t="s">
        <v>316</v>
      </c>
      <c r="J550" s="32" t="s">
        <v>965</v>
      </c>
      <c r="K550" s="32" t="s">
        <v>129</v>
      </c>
      <c r="L550" s="32" t="s">
        <v>966</v>
      </c>
      <c r="M550" s="32" t="s">
        <v>967</v>
      </c>
      <c r="N550" s="40">
        <v>2016</v>
      </c>
      <c r="O550" s="32">
        <f>VLOOKUP(Data!N84, CPI!$A$2:$B$112, 2, 0)</f>
        <v>201.6</v>
      </c>
      <c r="P550" s="32" t="s">
        <v>122</v>
      </c>
      <c r="Q550" s="32" t="s">
        <v>239</v>
      </c>
      <c r="R550" s="32" t="s">
        <v>975</v>
      </c>
      <c r="S550" s="57">
        <f>21847.5*2.47105</f>
        <v>53986.264875000001</v>
      </c>
      <c r="T550" s="32" t="s">
        <v>2211</v>
      </c>
      <c r="U550" s="57">
        <f>21847.5*2.47105</f>
        <v>53986.264875000001</v>
      </c>
      <c r="V550" s="32" t="s">
        <v>2211</v>
      </c>
      <c r="W550" s="32">
        <f>VLOOKUP(N550, 'Exchange rate-Kenya'!$A$3:$B$65, 2, 0)</f>
        <v>101.504369498594</v>
      </c>
      <c r="X550" s="32">
        <f t="shared" si="34"/>
        <v>531.8614867682893</v>
      </c>
      <c r="Y550" s="32">
        <f>(CPI!$B$112/O550)*X550</f>
        <v>803.79875614449611</v>
      </c>
      <c r="Z550" s="38" t="s">
        <v>303</v>
      </c>
      <c r="AA550" s="35" t="s">
        <v>1445</v>
      </c>
      <c r="AB550" s="32">
        <v>5319</v>
      </c>
      <c r="AC550" s="32" t="s">
        <v>2397</v>
      </c>
      <c r="AH550" s="32" t="s">
        <v>411</v>
      </c>
      <c r="AJ550" s="35" t="s">
        <v>2278</v>
      </c>
      <c r="AK550" s="40" t="s">
        <v>981</v>
      </c>
      <c r="AL550" s="32">
        <v>2016</v>
      </c>
      <c r="AM550" s="32" t="s">
        <v>978</v>
      </c>
      <c r="AN550" s="32" t="s">
        <v>979</v>
      </c>
      <c r="AO550" s="38" t="s">
        <v>980</v>
      </c>
      <c r="AP550" s="35" t="s">
        <v>396</v>
      </c>
    </row>
    <row r="551" spans="1:42" x14ac:dyDescent="0.2">
      <c r="A551" s="40">
        <v>59</v>
      </c>
      <c r="B551" s="40">
        <v>550</v>
      </c>
      <c r="C551" s="40" t="s">
        <v>114</v>
      </c>
      <c r="D551" s="38" t="s">
        <v>218</v>
      </c>
      <c r="E551" s="32" t="s">
        <v>2186</v>
      </c>
      <c r="F551" s="32" t="s">
        <v>21</v>
      </c>
      <c r="G551" s="38" t="s">
        <v>163</v>
      </c>
      <c r="H551" s="32" t="s">
        <v>151</v>
      </c>
      <c r="I551" s="32" t="s">
        <v>243</v>
      </c>
      <c r="J551" s="32" t="s">
        <v>965</v>
      </c>
      <c r="K551" s="32" t="s">
        <v>129</v>
      </c>
      <c r="L551" s="32" t="s">
        <v>966</v>
      </c>
      <c r="M551" s="32" t="s">
        <v>967</v>
      </c>
      <c r="N551" s="40">
        <v>2016</v>
      </c>
      <c r="O551" s="32">
        <f>VLOOKUP(Data!N85, CPI!$A$2:$B$112, 2, 0)</f>
        <v>195.3</v>
      </c>
      <c r="P551" s="32" t="s">
        <v>122</v>
      </c>
      <c r="Q551" s="32" t="s">
        <v>239</v>
      </c>
      <c r="R551" s="32" t="s">
        <v>976</v>
      </c>
      <c r="S551" s="32">
        <f>9663.5*2.47105</f>
        <v>23878.991675000001</v>
      </c>
      <c r="T551" s="32" t="s">
        <v>2211</v>
      </c>
      <c r="U551" s="32">
        <f>9663.5*2.47105</f>
        <v>23878.991675000001</v>
      </c>
      <c r="V551" s="32" t="s">
        <v>2211</v>
      </c>
      <c r="W551" s="32">
        <f>VLOOKUP(N551, 'Exchange rate-Kenya'!$A$3:$B$65, 2, 0)</f>
        <v>101.504369498594</v>
      </c>
      <c r="X551" s="32">
        <f t="shared" si="34"/>
        <v>235.25087435108657</v>
      </c>
      <c r="Y551" s="32">
        <f>(CPI!$B$112/O551)*X551</f>
        <v>367.00190390142046</v>
      </c>
      <c r="Z551" s="38" t="s">
        <v>303</v>
      </c>
      <c r="AA551" s="35" t="s">
        <v>1445</v>
      </c>
      <c r="AB551" s="32">
        <v>5319</v>
      </c>
      <c r="AC551" s="32" t="s">
        <v>2397</v>
      </c>
      <c r="AH551" s="32" t="s">
        <v>411</v>
      </c>
      <c r="AJ551" s="35" t="s">
        <v>2278</v>
      </c>
      <c r="AK551" s="40" t="s">
        <v>981</v>
      </c>
      <c r="AL551" s="32">
        <v>2016</v>
      </c>
      <c r="AM551" s="32" t="s">
        <v>978</v>
      </c>
      <c r="AN551" s="32" t="s">
        <v>979</v>
      </c>
      <c r="AO551" s="38" t="s">
        <v>980</v>
      </c>
      <c r="AP551" s="35" t="s">
        <v>396</v>
      </c>
    </row>
    <row r="552" spans="1:42" x14ac:dyDescent="0.2">
      <c r="A552" s="40">
        <v>59</v>
      </c>
      <c r="B552" s="40">
        <v>551</v>
      </c>
      <c r="C552" s="40" t="s">
        <v>114</v>
      </c>
      <c r="D552" s="38" t="s">
        <v>218</v>
      </c>
      <c r="E552" s="32" t="s">
        <v>2186</v>
      </c>
      <c r="F552" s="32" t="s">
        <v>21</v>
      </c>
      <c r="G552" s="38" t="s">
        <v>163</v>
      </c>
      <c r="H552" s="32" t="s">
        <v>151</v>
      </c>
      <c r="I552" s="32" t="s">
        <v>243</v>
      </c>
      <c r="J552" s="32" t="s">
        <v>965</v>
      </c>
      <c r="K552" s="32" t="s">
        <v>129</v>
      </c>
      <c r="L552" s="32" t="s">
        <v>966</v>
      </c>
      <c r="M552" s="32" t="s">
        <v>967</v>
      </c>
      <c r="N552" s="40">
        <v>2016</v>
      </c>
      <c r="O552" s="32">
        <f>VLOOKUP(Data!N86, CPI!$A$2:$B$112, 2, 0)</f>
        <v>188.9</v>
      </c>
      <c r="P552" s="32" t="s">
        <v>122</v>
      </c>
      <c r="Q552" s="32" t="s">
        <v>239</v>
      </c>
      <c r="R552" s="32" t="s">
        <v>977</v>
      </c>
      <c r="S552" s="32">
        <f>9707*2.47105</f>
        <v>23986.482349999998</v>
      </c>
      <c r="T552" s="32" t="s">
        <v>2211</v>
      </c>
      <c r="U552" s="32">
        <f>9707*2.47105</f>
        <v>23986.482349999998</v>
      </c>
      <c r="V552" s="32" t="s">
        <v>2211</v>
      </c>
      <c r="W552" s="32">
        <f>VLOOKUP(N552, 'Exchange rate-Kenya'!$A$3:$B$65, 2, 0)</f>
        <v>101.504369498594</v>
      </c>
      <c r="X552" s="32">
        <f t="shared" si="34"/>
        <v>236.30985019154519</v>
      </c>
      <c r="Y552" s="32">
        <f>(CPI!$B$112/O552)*X552</f>
        <v>381.14408231522958</v>
      </c>
      <c r="Z552" s="38" t="s">
        <v>303</v>
      </c>
      <c r="AA552" s="35" t="s">
        <v>1445</v>
      </c>
      <c r="AB552" s="32">
        <v>5319</v>
      </c>
      <c r="AC552" s="32" t="s">
        <v>2397</v>
      </c>
      <c r="AH552" s="32" t="s">
        <v>411</v>
      </c>
      <c r="AJ552" s="35" t="s">
        <v>2278</v>
      </c>
      <c r="AK552" s="40" t="s">
        <v>981</v>
      </c>
      <c r="AL552" s="32">
        <v>2016</v>
      </c>
      <c r="AM552" s="32" t="s">
        <v>978</v>
      </c>
      <c r="AN552" s="32" t="s">
        <v>979</v>
      </c>
      <c r="AO552" s="38" t="s">
        <v>980</v>
      </c>
      <c r="AP552" s="35" t="s">
        <v>396</v>
      </c>
    </row>
    <row r="553" spans="1:42" x14ac:dyDescent="0.2">
      <c r="A553" s="40">
        <v>60</v>
      </c>
      <c r="B553" s="40">
        <v>552</v>
      </c>
      <c r="C553" s="40" t="s">
        <v>119</v>
      </c>
      <c r="D553" s="38" t="s">
        <v>128</v>
      </c>
      <c r="E553" s="32" t="s">
        <v>2184</v>
      </c>
      <c r="F553" s="32" t="s">
        <v>131</v>
      </c>
      <c r="G553" s="38" t="s">
        <v>133</v>
      </c>
      <c r="H553" s="32" t="s">
        <v>151</v>
      </c>
      <c r="I553" s="32" t="s">
        <v>243</v>
      </c>
      <c r="J553" s="32" t="s">
        <v>982</v>
      </c>
      <c r="K553" s="32" t="s">
        <v>129</v>
      </c>
      <c r="L553" s="32" t="s">
        <v>30</v>
      </c>
      <c r="M553" s="32" t="s">
        <v>30</v>
      </c>
      <c r="N553" s="40">
        <v>2015</v>
      </c>
      <c r="O553" s="32">
        <f>VLOOKUP(Data!N507, CPI!$A$2:$B$112, 2, 0)</f>
        <v>237.017</v>
      </c>
      <c r="P553" s="32" t="s">
        <v>238</v>
      </c>
      <c r="Q553" s="32" t="s">
        <v>239</v>
      </c>
      <c r="R553" s="32" t="s">
        <v>984</v>
      </c>
      <c r="S553" s="32">
        <v>22000</v>
      </c>
      <c r="T553" s="32" t="s">
        <v>603</v>
      </c>
      <c r="U553" s="32">
        <v>22000</v>
      </c>
      <c r="V553" s="32" t="s">
        <v>316</v>
      </c>
      <c r="X553" s="32">
        <f t="shared" ref="X553:X567" si="35">U553</f>
        <v>22000</v>
      </c>
      <c r="Y553" s="32">
        <f>(CPI!$B$112/O553)*X553</f>
        <v>28280.201420151301</v>
      </c>
      <c r="Z553" s="38" t="s">
        <v>262</v>
      </c>
      <c r="AA553" s="35" t="s">
        <v>2397</v>
      </c>
      <c r="AB553" s="32" t="s">
        <v>30</v>
      </c>
      <c r="AH553" s="32" t="s">
        <v>411</v>
      </c>
      <c r="AK553" s="40" t="s">
        <v>993</v>
      </c>
      <c r="AL553" s="32">
        <v>2017</v>
      </c>
      <c r="AM553" s="32" t="s">
        <v>994</v>
      </c>
      <c r="AN553" s="32" t="s">
        <v>995</v>
      </c>
      <c r="AO553" s="38" t="s">
        <v>996</v>
      </c>
      <c r="AP553" s="35" t="s">
        <v>396</v>
      </c>
    </row>
    <row r="554" spans="1:42" x14ac:dyDescent="0.2">
      <c r="A554" s="40">
        <v>60</v>
      </c>
      <c r="B554" s="40">
        <v>553</v>
      </c>
      <c r="C554" s="40" t="s">
        <v>119</v>
      </c>
      <c r="D554" s="38" t="s">
        <v>128</v>
      </c>
      <c r="E554" s="32" t="s">
        <v>2184</v>
      </c>
      <c r="F554" s="32" t="s">
        <v>131</v>
      </c>
      <c r="G554" s="38" t="s">
        <v>133</v>
      </c>
      <c r="H554" s="32" t="s">
        <v>151</v>
      </c>
      <c r="I554" s="32" t="s">
        <v>243</v>
      </c>
      <c r="J554" s="32" t="s">
        <v>982</v>
      </c>
      <c r="K554" s="32" t="s">
        <v>129</v>
      </c>
      <c r="L554" s="32" t="s">
        <v>30</v>
      </c>
      <c r="M554" s="32" t="s">
        <v>30</v>
      </c>
      <c r="N554" s="40">
        <v>2015</v>
      </c>
      <c r="O554" s="32">
        <f>VLOOKUP(Data!N508, CPI!$A$2:$B$112, 2, 0)</f>
        <v>215.303</v>
      </c>
      <c r="P554" s="32" t="s">
        <v>238</v>
      </c>
      <c r="Q554" s="32" t="s">
        <v>239</v>
      </c>
      <c r="R554" s="32" t="s">
        <v>985</v>
      </c>
      <c r="S554" s="32">
        <v>47500</v>
      </c>
      <c r="T554" s="32" t="s">
        <v>603</v>
      </c>
      <c r="U554" s="32">
        <v>47500</v>
      </c>
      <c r="V554" s="32" t="s">
        <v>316</v>
      </c>
      <c r="X554" s="32">
        <f t="shared" si="35"/>
        <v>47500</v>
      </c>
      <c r="Y554" s="32">
        <f>(CPI!$B$112/O554)*X554</f>
        <v>67217.575347301245</v>
      </c>
      <c r="Z554" s="38" t="s">
        <v>262</v>
      </c>
      <c r="AA554" s="35" t="s">
        <v>2397</v>
      </c>
      <c r="AB554" s="32" t="s">
        <v>30</v>
      </c>
      <c r="AH554" s="32" t="s">
        <v>411</v>
      </c>
      <c r="AK554" s="40" t="s">
        <v>993</v>
      </c>
      <c r="AL554" s="32">
        <v>2017</v>
      </c>
      <c r="AM554" s="32" t="s">
        <v>994</v>
      </c>
      <c r="AN554" s="32" t="s">
        <v>995</v>
      </c>
      <c r="AO554" s="38" t="s">
        <v>996</v>
      </c>
      <c r="AP554" s="35" t="s">
        <v>396</v>
      </c>
    </row>
    <row r="555" spans="1:42" x14ac:dyDescent="0.2">
      <c r="A555" s="40">
        <v>60</v>
      </c>
      <c r="B555" s="40">
        <v>554</v>
      </c>
      <c r="C555" s="40" t="s">
        <v>119</v>
      </c>
      <c r="D555" s="38" t="s">
        <v>128</v>
      </c>
      <c r="E555" s="32" t="s">
        <v>2184</v>
      </c>
      <c r="F555" s="32" t="s">
        <v>131</v>
      </c>
      <c r="G555" s="35" t="s">
        <v>133</v>
      </c>
      <c r="H555" s="32" t="s">
        <v>151</v>
      </c>
      <c r="I555" s="32" t="s">
        <v>243</v>
      </c>
      <c r="J555" s="32" t="s">
        <v>982</v>
      </c>
      <c r="K555" s="32" t="s">
        <v>129</v>
      </c>
      <c r="L555" s="32" t="s">
        <v>30</v>
      </c>
      <c r="M555" s="32" t="s">
        <v>30</v>
      </c>
      <c r="N555" s="40">
        <v>2015</v>
      </c>
      <c r="O555" s="32">
        <f>VLOOKUP(Data!N509, CPI!$A$2:$B$112, 2, 0)</f>
        <v>251.107</v>
      </c>
      <c r="P555" s="32" t="s">
        <v>238</v>
      </c>
      <c r="Q555" s="32" t="s">
        <v>239</v>
      </c>
      <c r="R555" s="32" t="s">
        <v>986</v>
      </c>
      <c r="S555" s="32">
        <v>26125</v>
      </c>
      <c r="T555" s="32" t="s">
        <v>603</v>
      </c>
      <c r="U555" s="32">
        <v>26125</v>
      </c>
      <c r="V555" s="32" t="s">
        <v>316</v>
      </c>
      <c r="X555" s="32">
        <f t="shared" si="35"/>
        <v>26125</v>
      </c>
      <c r="Y555" s="32">
        <f>(CPI!$B$112/O555)*X555</f>
        <v>31698.360036757244</v>
      </c>
      <c r="Z555" s="38" t="s">
        <v>262</v>
      </c>
      <c r="AA555" s="35" t="s">
        <v>2397</v>
      </c>
      <c r="AB555" s="32" t="s">
        <v>30</v>
      </c>
      <c r="AH555" s="32" t="s">
        <v>411</v>
      </c>
      <c r="AK555" s="40" t="s">
        <v>993</v>
      </c>
      <c r="AL555" s="32">
        <v>2017</v>
      </c>
      <c r="AM555" s="32" t="s">
        <v>994</v>
      </c>
      <c r="AN555" s="32" t="s">
        <v>995</v>
      </c>
      <c r="AO555" s="38" t="s">
        <v>996</v>
      </c>
      <c r="AP555" s="35" t="s">
        <v>396</v>
      </c>
    </row>
    <row r="556" spans="1:42" x14ac:dyDescent="0.2">
      <c r="A556" s="40">
        <v>60</v>
      </c>
      <c r="B556" s="40">
        <v>555</v>
      </c>
      <c r="C556" s="40" t="s">
        <v>119</v>
      </c>
      <c r="D556" s="38" t="s">
        <v>128</v>
      </c>
      <c r="E556" s="32" t="s">
        <v>2184</v>
      </c>
      <c r="F556" s="32" t="s">
        <v>131</v>
      </c>
      <c r="G556" s="38" t="s">
        <v>133</v>
      </c>
      <c r="H556" s="32" t="s">
        <v>151</v>
      </c>
      <c r="I556" s="32" t="s">
        <v>243</v>
      </c>
      <c r="J556" s="32" t="s">
        <v>982</v>
      </c>
      <c r="K556" s="32" t="s">
        <v>129</v>
      </c>
      <c r="L556" s="32" t="s">
        <v>30</v>
      </c>
      <c r="M556" s="32" t="s">
        <v>30</v>
      </c>
      <c r="N556" s="40">
        <v>2015</v>
      </c>
      <c r="O556" s="32">
        <f>VLOOKUP(Data!N510, CPI!$A$2:$B$112, 2, 0)</f>
        <v>251.107</v>
      </c>
      <c r="P556" s="32" t="s">
        <v>238</v>
      </c>
      <c r="Q556" s="32" t="s">
        <v>239</v>
      </c>
      <c r="R556" s="32" t="s">
        <v>987</v>
      </c>
      <c r="S556" s="32">
        <v>55000</v>
      </c>
      <c r="T556" s="32" t="s">
        <v>603</v>
      </c>
      <c r="U556" s="32">
        <v>55000</v>
      </c>
      <c r="V556" s="32" t="s">
        <v>316</v>
      </c>
      <c r="X556" s="32">
        <f t="shared" si="35"/>
        <v>55000</v>
      </c>
      <c r="Y556" s="32">
        <f>(CPI!$B$112/O556)*X556</f>
        <v>66733.389551067885</v>
      </c>
      <c r="Z556" s="38" t="s">
        <v>262</v>
      </c>
      <c r="AA556" s="35" t="s">
        <v>2397</v>
      </c>
      <c r="AB556" s="32" t="s">
        <v>30</v>
      </c>
      <c r="AH556" s="32" t="s">
        <v>411</v>
      </c>
      <c r="AK556" s="40" t="s">
        <v>993</v>
      </c>
      <c r="AL556" s="32">
        <v>2017</v>
      </c>
      <c r="AM556" s="32" t="s">
        <v>994</v>
      </c>
      <c r="AN556" s="32" t="s">
        <v>995</v>
      </c>
      <c r="AO556" s="38" t="s">
        <v>996</v>
      </c>
      <c r="AP556" s="35" t="s">
        <v>396</v>
      </c>
    </row>
    <row r="557" spans="1:42" x14ac:dyDescent="0.2">
      <c r="A557" s="40">
        <v>60</v>
      </c>
      <c r="B557" s="40">
        <v>556</v>
      </c>
      <c r="C557" s="40" t="s">
        <v>119</v>
      </c>
      <c r="D557" s="38" t="s">
        <v>128</v>
      </c>
      <c r="E557" s="32" t="s">
        <v>2184</v>
      </c>
      <c r="F557" s="32" t="s">
        <v>131</v>
      </c>
      <c r="G557" s="38" t="s">
        <v>133</v>
      </c>
      <c r="H557" s="32" t="s">
        <v>151</v>
      </c>
      <c r="I557" s="32" t="s">
        <v>243</v>
      </c>
      <c r="J557" s="32" t="s">
        <v>983</v>
      </c>
      <c r="K557" s="32" t="s">
        <v>129</v>
      </c>
      <c r="L557" s="32" t="s">
        <v>30</v>
      </c>
      <c r="M557" s="32" t="s">
        <v>30</v>
      </c>
      <c r="N557" s="40">
        <v>2015</v>
      </c>
      <c r="O557" s="32">
        <f>VLOOKUP(Data!N511, CPI!$A$2:$B$112, 2, 0)</f>
        <v>251.107</v>
      </c>
      <c r="P557" s="32" t="s">
        <v>238</v>
      </c>
      <c r="Q557" s="32" t="s">
        <v>239</v>
      </c>
      <c r="R557" s="32" t="s">
        <v>988</v>
      </c>
      <c r="S557" s="32">
        <v>12375</v>
      </c>
      <c r="T557" s="32" t="s">
        <v>603</v>
      </c>
      <c r="U557" s="32">
        <v>12375</v>
      </c>
      <c r="V557" s="32" t="s">
        <v>316</v>
      </c>
      <c r="X557" s="32">
        <f t="shared" si="35"/>
        <v>12375</v>
      </c>
      <c r="Y557" s="32">
        <f>(CPI!$B$112/O557)*X557</f>
        <v>15015.012648990274</v>
      </c>
      <c r="Z557" s="38" t="s">
        <v>262</v>
      </c>
      <c r="AA557" s="35" t="s">
        <v>2397</v>
      </c>
      <c r="AB557" s="32" t="s">
        <v>30</v>
      </c>
      <c r="AH557" s="32" t="s">
        <v>411</v>
      </c>
      <c r="AK557" s="40" t="s">
        <v>993</v>
      </c>
      <c r="AL557" s="32">
        <v>2017</v>
      </c>
      <c r="AM557" s="32" t="s">
        <v>994</v>
      </c>
      <c r="AN557" s="32" t="s">
        <v>995</v>
      </c>
      <c r="AO557" s="38" t="s">
        <v>996</v>
      </c>
      <c r="AP557" s="35" t="s">
        <v>396</v>
      </c>
    </row>
    <row r="558" spans="1:42" x14ac:dyDescent="0.2">
      <c r="A558" s="40">
        <v>60</v>
      </c>
      <c r="B558" s="40">
        <v>557</v>
      </c>
      <c r="C558" s="40" t="s">
        <v>119</v>
      </c>
      <c r="D558" s="38" t="s">
        <v>128</v>
      </c>
      <c r="E558" s="32" t="s">
        <v>2184</v>
      </c>
      <c r="F558" s="32" t="s">
        <v>131</v>
      </c>
      <c r="G558" s="38" t="s">
        <v>133</v>
      </c>
      <c r="H558" s="32" t="s">
        <v>151</v>
      </c>
      <c r="I558" s="32" t="s">
        <v>243</v>
      </c>
      <c r="J558" s="32" t="s">
        <v>983</v>
      </c>
      <c r="K558" s="32" t="s">
        <v>129</v>
      </c>
      <c r="L558" s="32" t="s">
        <v>30</v>
      </c>
      <c r="M558" s="32" t="s">
        <v>30</v>
      </c>
      <c r="N558" s="40">
        <v>2015</v>
      </c>
      <c r="O558" s="32">
        <f>VLOOKUP(Data!N512, CPI!$A$2:$B$112, 2, 0)</f>
        <v>251.107</v>
      </c>
      <c r="P558" s="32" t="s">
        <v>238</v>
      </c>
      <c r="Q558" s="32" t="s">
        <v>239</v>
      </c>
      <c r="R558" s="32" t="s">
        <v>985</v>
      </c>
      <c r="S558" s="32">
        <v>26250</v>
      </c>
      <c r="T558" s="32" t="s">
        <v>603</v>
      </c>
      <c r="U558" s="32">
        <v>26250</v>
      </c>
      <c r="V558" s="32" t="s">
        <v>316</v>
      </c>
      <c r="X558" s="32">
        <f t="shared" si="35"/>
        <v>26250</v>
      </c>
      <c r="Y558" s="32">
        <f>(CPI!$B$112/O558)*X558</f>
        <v>31850.026831191492</v>
      </c>
      <c r="Z558" s="38" t="s">
        <v>262</v>
      </c>
      <c r="AA558" s="35" t="s">
        <v>2397</v>
      </c>
      <c r="AB558" s="32" t="s">
        <v>30</v>
      </c>
      <c r="AH558" s="32" t="s">
        <v>411</v>
      </c>
      <c r="AK558" s="40" t="s">
        <v>993</v>
      </c>
      <c r="AL558" s="32">
        <v>2017</v>
      </c>
      <c r="AM558" s="32" t="s">
        <v>994</v>
      </c>
      <c r="AN558" s="32" t="s">
        <v>995</v>
      </c>
      <c r="AO558" s="38" t="s">
        <v>996</v>
      </c>
      <c r="AP558" s="35" t="s">
        <v>396</v>
      </c>
    </row>
    <row r="559" spans="1:42" x14ac:dyDescent="0.2">
      <c r="A559" s="40">
        <v>60</v>
      </c>
      <c r="B559" s="40">
        <v>558</v>
      </c>
      <c r="C559" s="40" t="s">
        <v>119</v>
      </c>
      <c r="D559" s="38" t="s">
        <v>128</v>
      </c>
      <c r="E559" s="32" t="s">
        <v>2184</v>
      </c>
      <c r="F559" s="32" t="s">
        <v>131</v>
      </c>
      <c r="G559" s="35" t="s">
        <v>133</v>
      </c>
      <c r="H559" s="32" t="s">
        <v>151</v>
      </c>
      <c r="I559" s="32" t="s">
        <v>243</v>
      </c>
      <c r="J559" s="32" t="s">
        <v>983</v>
      </c>
      <c r="K559" s="32" t="s">
        <v>129</v>
      </c>
      <c r="L559" s="32" t="s">
        <v>30</v>
      </c>
      <c r="M559" s="32" t="s">
        <v>30</v>
      </c>
      <c r="N559" s="40">
        <v>2015</v>
      </c>
      <c r="O559" s="32">
        <f>VLOOKUP(Data!N513, CPI!$A$2:$B$112, 2, 0)</f>
        <v>207.3</v>
      </c>
      <c r="P559" s="32" t="s">
        <v>238</v>
      </c>
      <c r="Q559" s="32" t="s">
        <v>239</v>
      </c>
      <c r="R559" s="32" t="s">
        <v>986</v>
      </c>
      <c r="S559" s="32">
        <v>19250</v>
      </c>
      <c r="T559" s="32" t="s">
        <v>603</v>
      </c>
      <c r="U559" s="32">
        <v>19250</v>
      </c>
      <c r="V559" s="32" t="s">
        <v>316</v>
      </c>
      <c r="X559" s="32">
        <f t="shared" si="35"/>
        <v>19250</v>
      </c>
      <c r="Y559" s="32">
        <f>(CPI!$B$112/O559)*X559</f>
        <v>28292.462313072843</v>
      </c>
      <c r="Z559" s="38" t="s">
        <v>262</v>
      </c>
      <c r="AA559" s="35" t="s">
        <v>2397</v>
      </c>
      <c r="AB559" s="32" t="s">
        <v>30</v>
      </c>
      <c r="AH559" s="32" t="s">
        <v>411</v>
      </c>
      <c r="AK559" s="40" t="s">
        <v>993</v>
      </c>
      <c r="AL559" s="32">
        <v>2017</v>
      </c>
      <c r="AM559" s="32" t="s">
        <v>994</v>
      </c>
      <c r="AN559" s="32" t="s">
        <v>995</v>
      </c>
      <c r="AO559" s="38" t="s">
        <v>996</v>
      </c>
      <c r="AP559" s="35" t="s">
        <v>396</v>
      </c>
    </row>
    <row r="560" spans="1:42" x14ac:dyDescent="0.2">
      <c r="A560" s="40">
        <v>60</v>
      </c>
      <c r="B560" s="40">
        <v>559</v>
      </c>
      <c r="C560" s="40" t="s">
        <v>119</v>
      </c>
      <c r="D560" s="38" t="s">
        <v>128</v>
      </c>
      <c r="E560" s="32" t="s">
        <v>2184</v>
      </c>
      <c r="F560" s="32" t="s">
        <v>131</v>
      </c>
      <c r="G560" s="38" t="s">
        <v>133</v>
      </c>
      <c r="H560" s="32" t="s">
        <v>151</v>
      </c>
      <c r="I560" s="32" t="s">
        <v>243</v>
      </c>
      <c r="J560" s="32" t="s">
        <v>983</v>
      </c>
      <c r="K560" s="32" t="s">
        <v>129</v>
      </c>
      <c r="L560" s="32" t="s">
        <v>30</v>
      </c>
      <c r="M560" s="32" t="s">
        <v>30</v>
      </c>
      <c r="N560" s="40">
        <v>2015</v>
      </c>
      <c r="O560" s="32">
        <f>VLOOKUP(Data!N514, CPI!$A$2:$B$112, 2, 0)</f>
        <v>207.3</v>
      </c>
      <c r="P560" s="32" t="s">
        <v>238</v>
      </c>
      <c r="Q560" s="32" t="s">
        <v>239</v>
      </c>
      <c r="R560" s="32" t="s">
        <v>987</v>
      </c>
      <c r="S560" s="32">
        <v>41250</v>
      </c>
      <c r="T560" s="32" t="s">
        <v>603</v>
      </c>
      <c r="U560" s="32">
        <v>41250</v>
      </c>
      <c r="V560" s="32" t="s">
        <v>316</v>
      </c>
      <c r="X560" s="32">
        <f t="shared" si="35"/>
        <v>41250</v>
      </c>
      <c r="Y560" s="32">
        <f>(CPI!$B$112/O560)*X560</f>
        <v>60626.704956584668</v>
      </c>
      <c r="Z560" s="38" t="s">
        <v>262</v>
      </c>
      <c r="AA560" s="35" t="s">
        <v>2397</v>
      </c>
      <c r="AB560" s="32" t="s">
        <v>30</v>
      </c>
      <c r="AH560" s="32" t="s">
        <v>411</v>
      </c>
      <c r="AK560" s="40" t="s">
        <v>993</v>
      </c>
      <c r="AL560" s="32">
        <v>2017</v>
      </c>
      <c r="AM560" s="32" t="s">
        <v>994</v>
      </c>
      <c r="AN560" s="32" t="s">
        <v>995</v>
      </c>
      <c r="AO560" s="38" t="s">
        <v>996</v>
      </c>
      <c r="AP560" s="35" t="s">
        <v>396</v>
      </c>
    </row>
    <row r="561" spans="1:42" x14ac:dyDescent="0.2">
      <c r="A561" s="40">
        <v>60</v>
      </c>
      <c r="B561" s="40">
        <v>560</v>
      </c>
      <c r="C561" s="40" t="s">
        <v>119</v>
      </c>
      <c r="D561" s="38" t="s">
        <v>128</v>
      </c>
      <c r="E561" s="32" t="s">
        <v>2184</v>
      </c>
      <c r="F561" s="32" t="s">
        <v>131</v>
      </c>
      <c r="G561" s="38" t="s">
        <v>133</v>
      </c>
      <c r="H561" s="32" t="s">
        <v>151</v>
      </c>
      <c r="I561" s="32" t="s">
        <v>243</v>
      </c>
      <c r="J561" s="32" t="s">
        <v>983</v>
      </c>
      <c r="K561" s="32" t="s">
        <v>129</v>
      </c>
      <c r="L561" s="32" t="s">
        <v>30</v>
      </c>
      <c r="M561" s="32" t="s">
        <v>30</v>
      </c>
      <c r="N561" s="40">
        <v>2015</v>
      </c>
      <c r="O561" s="32">
        <f>VLOOKUP(Data!N515, CPI!$A$2:$B$112, 2, 0)</f>
        <v>207.3</v>
      </c>
      <c r="P561" s="32" t="s">
        <v>238</v>
      </c>
      <c r="Q561" s="32" t="s">
        <v>239</v>
      </c>
      <c r="R561" s="32" t="s">
        <v>989</v>
      </c>
      <c r="S561" s="32">
        <v>14437</v>
      </c>
      <c r="T561" s="32" t="s">
        <v>603</v>
      </c>
      <c r="U561" s="32">
        <v>14437</v>
      </c>
      <c r="V561" s="32" t="s">
        <v>316</v>
      </c>
      <c r="X561" s="32">
        <f t="shared" si="35"/>
        <v>14437</v>
      </c>
      <c r="Y561" s="32">
        <f>(CPI!$B$112/O561)*X561</f>
        <v>21218.611865653646</v>
      </c>
      <c r="Z561" s="38" t="s">
        <v>262</v>
      </c>
      <c r="AA561" s="35" t="s">
        <v>2397</v>
      </c>
      <c r="AB561" s="32" t="s">
        <v>30</v>
      </c>
      <c r="AH561" s="32" t="s">
        <v>411</v>
      </c>
      <c r="AK561" s="40" t="s">
        <v>993</v>
      </c>
      <c r="AL561" s="32">
        <v>2017</v>
      </c>
      <c r="AM561" s="32" t="s">
        <v>994</v>
      </c>
      <c r="AN561" s="32" t="s">
        <v>995</v>
      </c>
      <c r="AO561" s="38" t="s">
        <v>996</v>
      </c>
      <c r="AP561" s="35" t="s">
        <v>396</v>
      </c>
    </row>
    <row r="562" spans="1:42" x14ac:dyDescent="0.2">
      <c r="A562" s="40">
        <v>60</v>
      </c>
      <c r="B562" s="40">
        <v>561</v>
      </c>
      <c r="C562" s="40" t="s">
        <v>119</v>
      </c>
      <c r="D562" s="38" t="s">
        <v>128</v>
      </c>
      <c r="E562" s="32" t="s">
        <v>2184</v>
      </c>
      <c r="F562" s="32" t="s">
        <v>131</v>
      </c>
      <c r="G562" s="38" t="s">
        <v>133</v>
      </c>
      <c r="H562" s="32" t="s">
        <v>151</v>
      </c>
      <c r="I562" s="32" t="s">
        <v>243</v>
      </c>
      <c r="J562" s="32" t="s">
        <v>983</v>
      </c>
      <c r="K562" s="32" t="s">
        <v>129</v>
      </c>
      <c r="L562" s="32" t="s">
        <v>30</v>
      </c>
      <c r="M562" s="32" t="s">
        <v>30</v>
      </c>
      <c r="N562" s="40">
        <v>2015</v>
      </c>
      <c r="O562" s="32">
        <f>VLOOKUP(Data!N516, CPI!$A$2:$B$112, 2, 0)</f>
        <v>207.3</v>
      </c>
      <c r="P562" s="32" t="s">
        <v>238</v>
      </c>
      <c r="Q562" s="32" t="s">
        <v>239</v>
      </c>
      <c r="R562" s="32" t="s">
        <v>990</v>
      </c>
      <c r="S562" s="32">
        <v>31250</v>
      </c>
      <c r="T562" s="32" t="s">
        <v>603</v>
      </c>
      <c r="U562" s="32">
        <v>31250</v>
      </c>
      <c r="V562" s="32" t="s">
        <v>316</v>
      </c>
      <c r="X562" s="32">
        <f t="shared" si="35"/>
        <v>31250</v>
      </c>
      <c r="Y562" s="32">
        <f>(CPI!$B$112/O562)*X562</f>
        <v>45929.321936806562</v>
      </c>
      <c r="Z562" s="38" t="s">
        <v>262</v>
      </c>
      <c r="AA562" s="35" t="s">
        <v>2397</v>
      </c>
      <c r="AB562" s="32" t="s">
        <v>30</v>
      </c>
      <c r="AH562" s="32" t="s">
        <v>411</v>
      </c>
      <c r="AK562" s="40" t="s">
        <v>993</v>
      </c>
      <c r="AL562" s="32">
        <v>2017</v>
      </c>
      <c r="AM562" s="32" t="s">
        <v>994</v>
      </c>
      <c r="AN562" s="32" t="s">
        <v>995</v>
      </c>
      <c r="AO562" s="38" t="s">
        <v>996</v>
      </c>
      <c r="AP562" s="35" t="s">
        <v>396</v>
      </c>
    </row>
    <row r="563" spans="1:42" x14ac:dyDescent="0.2">
      <c r="A563" s="40">
        <v>60</v>
      </c>
      <c r="B563" s="40">
        <v>562</v>
      </c>
      <c r="C563" s="40" t="s">
        <v>119</v>
      </c>
      <c r="D563" s="38" t="s">
        <v>128</v>
      </c>
      <c r="E563" s="32" t="s">
        <v>2184</v>
      </c>
      <c r="F563" s="32" t="s">
        <v>131</v>
      </c>
      <c r="G563" s="38" t="s">
        <v>133</v>
      </c>
      <c r="H563" s="32" t="s">
        <v>151</v>
      </c>
      <c r="I563" s="32" t="s">
        <v>243</v>
      </c>
      <c r="J563" s="32" t="s">
        <v>983</v>
      </c>
      <c r="K563" s="32" t="s">
        <v>129</v>
      </c>
      <c r="L563" s="32" t="s">
        <v>30</v>
      </c>
      <c r="M563" s="32" t="s">
        <v>30</v>
      </c>
      <c r="N563" s="40">
        <v>2015</v>
      </c>
      <c r="O563" s="32">
        <f>VLOOKUP(Data!N517, CPI!$A$2:$B$112, 2, 0)</f>
        <v>207.3</v>
      </c>
      <c r="P563" s="32" t="s">
        <v>238</v>
      </c>
      <c r="Q563" s="32" t="s">
        <v>239</v>
      </c>
      <c r="R563" s="32" t="s">
        <v>991</v>
      </c>
      <c r="S563" s="32">
        <v>56250</v>
      </c>
      <c r="T563" s="32" t="s">
        <v>603</v>
      </c>
      <c r="U563" s="32">
        <v>56250</v>
      </c>
      <c r="V563" s="32" t="s">
        <v>316</v>
      </c>
      <c r="X563" s="32">
        <f t="shared" si="35"/>
        <v>56250</v>
      </c>
      <c r="Y563" s="32">
        <f>(CPI!$B$112/O563)*X563</f>
        <v>82672.77948625182</v>
      </c>
      <c r="Z563" s="38" t="s">
        <v>262</v>
      </c>
      <c r="AA563" s="35" t="s">
        <v>2397</v>
      </c>
      <c r="AB563" s="32" t="s">
        <v>30</v>
      </c>
      <c r="AH563" s="32" t="s">
        <v>411</v>
      </c>
      <c r="AK563" s="40" t="s">
        <v>993</v>
      </c>
      <c r="AL563" s="32">
        <v>2017</v>
      </c>
      <c r="AM563" s="32" t="s">
        <v>994</v>
      </c>
      <c r="AN563" s="32" t="s">
        <v>995</v>
      </c>
      <c r="AO563" s="38" t="s">
        <v>996</v>
      </c>
      <c r="AP563" s="35" t="s">
        <v>396</v>
      </c>
    </row>
    <row r="564" spans="1:42" x14ac:dyDescent="0.2">
      <c r="A564" s="40">
        <v>60</v>
      </c>
      <c r="B564" s="40">
        <v>563</v>
      </c>
      <c r="C564" s="40" t="s">
        <v>119</v>
      </c>
      <c r="D564" s="38" t="s">
        <v>128</v>
      </c>
      <c r="E564" s="32" t="s">
        <v>2184</v>
      </c>
      <c r="F564" s="32" t="s">
        <v>131</v>
      </c>
      <c r="G564" s="38" t="s">
        <v>133</v>
      </c>
      <c r="H564" s="32" t="s">
        <v>151</v>
      </c>
      <c r="I564" s="32" t="s">
        <v>243</v>
      </c>
      <c r="J564" s="32" t="s">
        <v>983</v>
      </c>
      <c r="K564" s="32" t="s">
        <v>129</v>
      </c>
      <c r="L564" s="32" t="s">
        <v>30</v>
      </c>
      <c r="M564" s="32" t="s">
        <v>30</v>
      </c>
      <c r="N564" s="40">
        <v>2015</v>
      </c>
      <c r="O564" s="32">
        <f>VLOOKUP(Data!N518, CPI!$A$2:$B$112, 2, 0)</f>
        <v>207.3</v>
      </c>
      <c r="P564" s="32" t="s">
        <v>238</v>
      </c>
      <c r="Q564" s="32" t="s">
        <v>239</v>
      </c>
      <c r="R564" s="32" t="s">
        <v>992</v>
      </c>
      <c r="S564" s="32">
        <v>8250</v>
      </c>
      <c r="T564" s="32" t="s">
        <v>603</v>
      </c>
      <c r="U564" s="32">
        <v>8250</v>
      </c>
      <c r="V564" s="32" t="s">
        <v>316</v>
      </c>
      <c r="X564" s="32">
        <f t="shared" si="35"/>
        <v>8250</v>
      </c>
      <c r="Y564" s="32">
        <f>(CPI!$B$112/O564)*X564</f>
        <v>12125.340991316933</v>
      </c>
      <c r="Z564" s="38" t="s">
        <v>262</v>
      </c>
      <c r="AA564" s="35" t="s">
        <v>2397</v>
      </c>
      <c r="AB564" s="32" t="s">
        <v>30</v>
      </c>
      <c r="AH564" s="32" t="s">
        <v>411</v>
      </c>
      <c r="AK564" s="40" t="s">
        <v>993</v>
      </c>
      <c r="AL564" s="32">
        <v>2017</v>
      </c>
      <c r="AM564" s="32" t="s">
        <v>994</v>
      </c>
      <c r="AN564" s="32" t="s">
        <v>995</v>
      </c>
      <c r="AO564" s="38" t="s">
        <v>996</v>
      </c>
      <c r="AP564" s="35" t="s">
        <v>396</v>
      </c>
    </row>
    <row r="565" spans="1:42" x14ac:dyDescent="0.2">
      <c r="A565" s="40">
        <v>61</v>
      </c>
      <c r="B565" s="40">
        <v>564</v>
      </c>
      <c r="C565" s="40" t="s">
        <v>241</v>
      </c>
      <c r="D565" s="38" t="s">
        <v>240</v>
      </c>
      <c r="E565" s="32" t="s">
        <v>2186</v>
      </c>
      <c r="F565" s="32" t="s">
        <v>108</v>
      </c>
      <c r="G565" s="38" t="s">
        <v>8</v>
      </c>
      <c r="H565" s="32" t="s">
        <v>115</v>
      </c>
      <c r="I565" s="32" t="s">
        <v>137</v>
      </c>
      <c r="J565" s="32" t="s">
        <v>129</v>
      </c>
      <c r="K565" s="32" t="s">
        <v>129</v>
      </c>
      <c r="L565" s="32" t="s">
        <v>30</v>
      </c>
      <c r="M565" s="32" t="s">
        <v>30</v>
      </c>
      <c r="N565" s="40">
        <v>2020</v>
      </c>
      <c r="O565" s="32">
        <f>VLOOKUP(Data!N519, CPI!$A$2:$B$112, 2, 0)</f>
        <v>207.3</v>
      </c>
      <c r="P565" s="32" t="s">
        <v>122</v>
      </c>
      <c r="Q565" s="32" t="s">
        <v>4</v>
      </c>
      <c r="R565" s="32" t="s">
        <v>1000</v>
      </c>
      <c r="S565" s="32">
        <v>167143000</v>
      </c>
      <c r="T565" s="32" t="s">
        <v>300</v>
      </c>
      <c r="U565" s="32">
        <f>S565/AB565</f>
        <v>2.8686887063499964</v>
      </c>
      <c r="V565" s="32" t="s">
        <v>316</v>
      </c>
      <c r="X565" s="32">
        <f t="shared" si="35"/>
        <v>2.8686887063499964</v>
      </c>
      <c r="Y565" s="32">
        <f>(CPI!$B$112/O565)*X565</f>
        <v>4.2162216681737643</v>
      </c>
      <c r="Z565" s="38" t="s">
        <v>262</v>
      </c>
      <c r="AA565" s="35" t="s">
        <v>1446</v>
      </c>
      <c r="AB565" s="32">
        <v>58264600</v>
      </c>
      <c r="AC565" s="32" t="s">
        <v>2277</v>
      </c>
      <c r="AH565" s="32" t="s">
        <v>411</v>
      </c>
      <c r="AK565" s="40" t="s">
        <v>1003</v>
      </c>
      <c r="AL565" s="32">
        <v>2021</v>
      </c>
      <c r="AM565" s="32" t="s">
        <v>1004</v>
      </c>
      <c r="AN565" s="32" t="s">
        <v>1005</v>
      </c>
      <c r="AO565" s="38" t="s">
        <v>1006</v>
      </c>
      <c r="AP565" s="35" t="s">
        <v>396</v>
      </c>
    </row>
    <row r="566" spans="1:42" x14ac:dyDescent="0.2">
      <c r="A566" s="40">
        <v>61</v>
      </c>
      <c r="B566" s="40">
        <v>565</v>
      </c>
      <c r="C566" s="40" t="s">
        <v>241</v>
      </c>
      <c r="D566" s="38" t="s">
        <v>240</v>
      </c>
      <c r="E566" s="32" t="s">
        <v>2186</v>
      </c>
      <c r="F566" s="32" t="s">
        <v>108</v>
      </c>
      <c r="G566" s="38" t="s">
        <v>109</v>
      </c>
      <c r="H566" s="32" t="s">
        <v>115</v>
      </c>
      <c r="I566" s="32" t="s">
        <v>137</v>
      </c>
      <c r="J566" s="32" t="s">
        <v>129</v>
      </c>
      <c r="K566" s="32" t="s">
        <v>129</v>
      </c>
      <c r="L566" s="32" t="s">
        <v>30</v>
      </c>
      <c r="M566" s="32" t="s">
        <v>30</v>
      </c>
      <c r="N566" s="40">
        <v>2020</v>
      </c>
      <c r="O566" s="32">
        <f>VLOOKUP(Data!N520, CPI!$A$2:$B$112, 2, 0)</f>
        <v>207.3</v>
      </c>
      <c r="P566" s="32" t="s">
        <v>122</v>
      </c>
      <c r="Q566" s="32" t="s">
        <v>4</v>
      </c>
      <c r="R566" s="32" t="s">
        <v>1001</v>
      </c>
      <c r="S566" s="32">
        <v>160981000</v>
      </c>
      <c r="T566" s="32" t="s">
        <v>300</v>
      </c>
      <c r="U566" s="32">
        <f>S566/AB566</f>
        <v>2.7629298064347818</v>
      </c>
      <c r="V566" s="32" t="s">
        <v>316</v>
      </c>
      <c r="X566" s="32">
        <f t="shared" si="35"/>
        <v>2.7629298064347818</v>
      </c>
      <c r="Y566" s="32">
        <f>(CPI!$B$112/O566)*X566</f>
        <v>4.0607837621933358</v>
      </c>
      <c r="Z566" s="38" t="s">
        <v>262</v>
      </c>
      <c r="AA566" s="35" t="s">
        <v>1446</v>
      </c>
      <c r="AB566" s="32">
        <v>58264600</v>
      </c>
      <c r="AC566" s="32" t="s">
        <v>2277</v>
      </c>
      <c r="AH566" s="32" t="s">
        <v>411</v>
      </c>
      <c r="AK566" s="40" t="s">
        <v>1003</v>
      </c>
      <c r="AL566" s="32">
        <v>2021</v>
      </c>
      <c r="AM566" s="32" t="s">
        <v>1004</v>
      </c>
      <c r="AN566" s="32" t="s">
        <v>1005</v>
      </c>
      <c r="AO566" s="38" t="s">
        <v>1006</v>
      </c>
      <c r="AP566" s="35" t="s">
        <v>396</v>
      </c>
    </row>
    <row r="567" spans="1:42" x14ac:dyDescent="0.2">
      <c r="A567" s="40">
        <v>61</v>
      </c>
      <c r="B567" s="40">
        <v>566</v>
      </c>
      <c r="C567" s="40" t="s">
        <v>241</v>
      </c>
      <c r="D567" s="38" t="s">
        <v>240</v>
      </c>
      <c r="E567" s="32" t="s">
        <v>2183</v>
      </c>
      <c r="F567" s="32" t="s">
        <v>126</v>
      </c>
      <c r="G567" s="38" t="s">
        <v>215</v>
      </c>
      <c r="H567" s="32" t="s">
        <v>115</v>
      </c>
      <c r="I567" s="32" t="s">
        <v>137</v>
      </c>
      <c r="J567" s="32" t="s">
        <v>129</v>
      </c>
      <c r="K567" s="32" t="s">
        <v>129</v>
      </c>
      <c r="L567" s="32" t="s">
        <v>30</v>
      </c>
      <c r="M567" s="32" t="s">
        <v>30</v>
      </c>
      <c r="N567" s="40">
        <v>2020</v>
      </c>
      <c r="O567" s="32">
        <f>VLOOKUP(Data!N521, CPI!$A$2:$B$112, 2, 0)</f>
        <v>207.3</v>
      </c>
      <c r="P567" s="32" t="s">
        <v>122</v>
      </c>
      <c r="Q567" s="32" t="s">
        <v>4</v>
      </c>
      <c r="R567" s="32" t="s">
        <v>1002</v>
      </c>
      <c r="S567" s="32">
        <v>145797000</v>
      </c>
      <c r="T567" s="32" t="s">
        <v>300</v>
      </c>
      <c r="U567" s="32">
        <f>S567/AB567</f>
        <v>2.502325597361005</v>
      </c>
      <c r="V567" s="32" t="s">
        <v>316</v>
      </c>
      <c r="X567" s="32">
        <f t="shared" si="35"/>
        <v>2.502325597361005</v>
      </c>
      <c r="Y567" s="32">
        <f>(CPI!$B$112/O567)*X567</f>
        <v>3.6777637744609728</v>
      </c>
      <c r="Z567" s="38" t="s">
        <v>262</v>
      </c>
      <c r="AA567" s="35" t="s">
        <v>1446</v>
      </c>
      <c r="AB567" s="32">
        <v>58264600</v>
      </c>
      <c r="AC567" s="32" t="s">
        <v>2277</v>
      </c>
      <c r="AH567" s="32" t="s">
        <v>411</v>
      </c>
      <c r="AK567" s="40" t="s">
        <v>1003</v>
      </c>
      <c r="AL567" s="32">
        <v>2021</v>
      </c>
      <c r="AM567" s="32" t="s">
        <v>1004</v>
      </c>
      <c r="AN567" s="32" t="s">
        <v>1005</v>
      </c>
      <c r="AO567" s="38" t="s">
        <v>1006</v>
      </c>
      <c r="AP567" s="35" t="s">
        <v>396</v>
      </c>
    </row>
    <row r="568" spans="1:42" x14ac:dyDescent="0.2">
      <c r="A568" s="40">
        <v>61</v>
      </c>
      <c r="B568" s="40">
        <v>567</v>
      </c>
      <c r="C568" s="40" t="s">
        <v>241</v>
      </c>
      <c r="D568" s="38" t="s">
        <v>240</v>
      </c>
      <c r="E568" s="32" t="s">
        <v>2186</v>
      </c>
      <c r="F568" s="32" t="s">
        <v>108</v>
      </c>
      <c r="G568" s="38" t="s">
        <v>8</v>
      </c>
      <c r="H568" s="32" t="s">
        <v>115</v>
      </c>
      <c r="I568" s="32" t="s">
        <v>137</v>
      </c>
      <c r="J568" s="32" t="s">
        <v>129</v>
      </c>
      <c r="K568" s="32" t="s">
        <v>129</v>
      </c>
      <c r="L568" s="32" t="s">
        <v>30</v>
      </c>
      <c r="M568" s="32" t="s">
        <v>30</v>
      </c>
      <c r="N568" s="40">
        <v>2020</v>
      </c>
      <c r="O568" s="32">
        <f>VLOOKUP(Data!N1399, CPI!$A$2:$B$112, 2, 0)</f>
        <v>207.3</v>
      </c>
      <c r="P568" s="32" t="s">
        <v>122</v>
      </c>
      <c r="Q568" s="32" t="s">
        <v>4</v>
      </c>
      <c r="R568" s="32" t="s">
        <v>997</v>
      </c>
      <c r="S568" s="32">
        <v>14.12</v>
      </c>
      <c r="T568" s="32" t="s">
        <v>362</v>
      </c>
      <c r="Z568" s="38" t="s">
        <v>262</v>
      </c>
      <c r="AA568" s="35" t="s">
        <v>1446</v>
      </c>
      <c r="AB568" s="32">
        <v>58264600</v>
      </c>
      <c r="AC568" s="32" t="s">
        <v>2277</v>
      </c>
      <c r="AH568" s="32" t="s">
        <v>411</v>
      </c>
      <c r="AK568" s="40" t="s">
        <v>1003</v>
      </c>
      <c r="AL568" s="32">
        <v>2021</v>
      </c>
      <c r="AM568" s="32" t="s">
        <v>1004</v>
      </c>
      <c r="AN568" s="32" t="s">
        <v>1005</v>
      </c>
      <c r="AO568" s="38" t="s">
        <v>1006</v>
      </c>
      <c r="AP568" s="35" t="s">
        <v>396</v>
      </c>
    </row>
    <row r="569" spans="1:42" x14ac:dyDescent="0.2">
      <c r="A569" s="40">
        <v>61</v>
      </c>
      <c r="B569" s="40">
        <v>568</v>
      </c>
      <c r="C569" s="40" t="s">
        <v>241</v>
      </c>
      <c r="D569" s="38" t="s">
        <v>240</v>
      </c>
      <c r="E569" s="32" t="s">
        <v>2186</v>
      </c>
      <c r="F569" s="32" t="s">
        <v>108</v>
      </c>
      <c r="G569" s="38" t="s">
        <v>109</v>
      </c>
      <c r="H569" s="32" t="s">
        <v>115</v>
      </c>
      <c r="I569" s="32" t="s">
        <v>137</v>
      </c>
      <c r="J569" s="32" t="s">
        <v>129</v>
      </c>
      <c r="K569" s="32" t="s">
        <v>129</v>
      </c>
      <c r="L569" s="32" t="s">
        <v>30</v>
      </c>
      <c r="M569" s="32" t="s">
        <v>30</v>
      </c>
      <c r="N569" s="40">
        <v>2020</v>
      </c>
      <c r="O569" s="32">
        <f>VLOOKUP(Data!N1400, CPI!$A$2:$B$112, 2, 0)</f>
        <v>207.3</v>
      </c>
      <c r="P569" s="32" t="s">
        <v>122</v>
      </c>
      <c r="Q569" s="32" t="s">
        <v>4</v>
      </c>
      <c r="R569" s="32" t="s">
        <v>998</v>
      </c>
      <c r="S569" s="32">
        <v>13.6</v>
      </c>
      <c r="T569" s="32" t="s">
        <v>362</v>
      </c>
      <c r="Z569" s="38" t="s">
        <v>262</v>
      </c>
      <c r="AA569" s="35" t="s">
        <v>1446</v>
      </c>
      <c r="AB569" s="32">
        <v>58264600</v>
      </c>
      <c r="AC569" s="32" t="s">
        <v>2277</v>
      </c>
      <c r="AH569" s="32" t="s">
        <v>411</v>
      </c>
      <c r="AK569" s="40" t="s">
        <v>1003</v>
      </c>
      <c r="AL569" s="32">
        <v>2021</v>
      </c>
      <c r="AM569" s="32" t="s">
        <v>1004</v>
      </c>
      <c r="AN569" s="32" t="s">
        <v>1005</v>
      </c>
      <c r="AO569" s="38" t="s">
        <v>1006</v>
      </c>
      <c r="AP569" s="35" t="s">
        <v>396</v>
      </c>
    </row>
    <row r="570" spans="1:42" x14ac:dyDescent="0.2">
      <c r="A570" s="40">
        <v>61</v>
      </c>
      <c r="B570" s="40">
        <v>569</v>
      </c>
      <c r="C570" s="40" t="s">
        <v>241</v>
      </c>
      <c r="D570" s="38" t="s">
        <v>240</v>
      </c>
      <c r="E570" s="32" t="s">
        <v>2183</v>
      </c>
      <c r="F570" s="32" t="s">
        <v>126</v>
      </c>
      <c r="G570" s="38" t="s">
        <v>215</v>
      </c>
      <c r="H570" s="32" t="s">
        <v>115</v>
      </c>
      <c r="I570" s="32" t="s">
        <v>137</v>
      </c>
      <c r="J570" s="32" t="s">
        <v>129</v>
      </c>
      <c r="K570" s="32" t="s">
        <v>129</v>
      </c>
      <c r="L570" s="32" t="s">
        <v>30</v>
      </c>
      <c r="M570" s="32" t="s">
        <v>30</v>
      </c>
      <c r="N570" s="40">
        <v>2020</v>
      </c>
      <c r="O570" s="32">
        <f>VLOOKUP(Data!N1401, CPI!$A$2:$B$112, 2, 0)</f>
        <v>207.3</v>
      </c>
      <c r="P570" s="32" t="s">
        <v>122</v>
      </c>
      <c r="Q570" s="32" t="s">
        <v>4</v>
      </c>
      <c r="R570" s="32" t="s">
        <v>999</v>
      </c>
      <c r="S570" s="32">
        <v>12.31</v>
      </c>
      <c r="T570" s="32" t="s">
        <v>362</v>
      </c>
      <c r="Z570" s="38" t="s">
        <v>262</v>
      </c>
      <c r="AA570" s="35" t="s">
        <v>1446</v>
      </c>
      <c r="AB570" s="32">
        <v>58264600</v>
      </c>
      <c r="AC570" s="32" t="s">
        <v>2277</v>
      </c>
      <c r="AH570" s="32" t="s">
        <v>411</v>
      </c>
      <c r="AK570" s="40" t="s">
        <v>1003</v>
      </c>
      <c r="AL570" s="32">
        <v>2021</v>
      </c>
      <c r="AM570" s="32" t="s">
        <v>1004</v>
      </c>
      <c r="AN570" s="32" t="s">
        <v>1005</v>
      </c>
      <c r="AO570" s="38" t="s">
        <v>1006</v>
      </c>
      <c r="AP570" s="35" t="s">
        <v>396</v>
      </c>
    </row>
    <row r="571" spans="1:42" x14ac:dyDescent="0.2">
      <c r="A571" s="40">
        <v>62</v>
      </c>
      <c r="B571" s="40">
        <v>570</v>
      </c>
      <c r="C571" s="40" t="s">
        <v>39</v>
      </c>
      <c r="D571" s="38" t="s">
        <v>26</v>
      </c>
      <c r="E571" s="32" t="s">
        <v>2186</v>
      </c>
      <c r="F571" s="32" t="s">
        <v>21</v>
      </c>
      <c r="G571" s="38" t="s">
        <v>163</v>
      </c>
      <c r="H571" s="32" t="s">
        <v>151</v>
      </c>
      <c r="I571" s="32" t="s">
        <v>61</v>
      </c>
      <c r="J571" s="32" t="s">
        <v>1007</v>
      </c>
      <c r="K571" s="32" t="s">
        <v>129</v>
      </c>
      <c r="L571" s="32" t="s">
        <v>30</v>
      </c>
      <c r="M571" s="32" t="s">
        <v>30</v>
      </c>
      <c r="N571" s="40">
        <v>2005</v>
      </c>
      <c r="O571" s="32">
        <f>VLOOKUP(Data!N87, CPI!$A$2:$B$112, 2, 0)</f>
        <v>195.3</v>
      </c>
      <c r="P571" s="32" t="s">
        <v>238</v>
      </c>
      <c r="Q571" s="32" t="s">
        <v>239</v>
      </c>
      <c r="R571" s="32" t="s">
        <v>1033</v>
      </c>
      <c r="S571" s="32">
        <v>12392</v>
      </c>
      <c r="T571" s="32" t="s">
        <v>307</v>
      </c>
      <c r="U571" s="32">
        <f t="shared" ref="U571:U594" si="36">(S571*AE571)/AB571</f>
        <v>273.00910099889012</v>
      </c>
      <c r="V571" s="32" t="s">
        <v>2211</v>
      </c>
      <c r="W571" s="32">
        <f>VLOOKUP(N571, 'Exchange rate-Kenya'!$A$3:$B$65, 2, 0)</f>
        <v>75.554109451431103</v>
      </c>
      <c r="X571" s="32">
        <f t="shared" ref="X571:X594" si="37">U571/W571</f>
        <v>3.6134249080705554</v>
      </c>
      <c r="Y571" s="32">
        <f>(CPI!$B$112/O571)*X571</f>
        <v>5.6371047483870225</v>
      </c>
      <c r="Z571" s="38" t="s">
        <v>303</v>
      </c>
      <c r="AA571" s="35" t="s">
        <v>1412</v>
      </c>
      <c r="AB571" s="32">
        <v>90100</v>
      </c>
      <c r="AC571" s="43" t="s">
        <v>2266</v>
      </c>
      <c r="AE571" s="32">
        <v>1985</v>
      </c>
      <c r="AF571" s="59" t="s">
        <v>2398</v>
      </c>
      <c r="AG571" s="59"/>
      <c r="AH571" s="59" t="s">
        <v>411</v>
      </c>
      <c r="AI571" s="32" t="s">
        <v>2423</v>
      </c>
      <c r="AJ571" s="36" t="s">
        <v>2422</v>
      </c>
      <c r="AK571" s="40" t="s">
        <v>1056</v>
      </c>
      <c r="AL571" s="32">
        <v>2006</v>
      </c>
      <c r="AM571" s="32" t="s">
        <v>1057</v>
      </c>
      <c r="AN571" s="32" t="s">
        <v>1058</v>
      </c>
      <c r="AP571" s="35" t="s">
        <v>396</v>
      </c>
    </row>
    <row r="572" spans="1:42" x14ac:dyDescent="0.2">
      <c r="A572" s="40">
        <v>62</v>
      </c>
      <c r="B572" s="40">
        <v>571</v>
      </c>
      <c r="C572" s="40" t="s">
        <v>39</v>
      </c>
      <c r="D572" s="38" t="s">
        <v>26</v>
      </c>
      <c r="E572" s="32" t="s">
        <v>2186</v>
      </c>
      <c r="F572" s="32" t="s">
        <v>21</v>
      </c>
      <c r="G572" s="38" t="s">
        <v>163</v>
      </c>
      <c r="H572" s="32" t="s">
        <v>151</v>
      </c>
      <c r="I572" s="32" t="s">
        <v>61</v>
      </c>
      <c r="J572" s="32" t="s">
        <v>1007</v>
      </c>
      <c r="K572" s="32" t="s">
        <v>129</v>
      </c>
      <c r="L572" s="32" t="s">
        <v>30</v>
      </c>
      <c r="M572" s="32" t="s">
        <v>30</v>
      </c>
      <c r="N572" s="40">
        <v>2005</v>
      </c>
      <c r="O572" s="32">
        <f>VLOOKUP(Data!N88, CPI!$A$2:$B$112, 2, 0)</f>
        <v>195.3</v>
      </c>
      <c r="P572" s="32" t="s">
        <v>238</v>
      </c>
      <c r="Q572" s="32" t="s">
        <v>239</v>
      </c>
      <c r="R572" s="32" t="s">
        <v>1032</v>
      </c>
      <c r="S572" s="32">
        <v>2889</v>
      </c>
      <c r="T572" s="32" t="s">
        <v>307</v>
      </c>
      <c r="U572" s="32">
        <f t="shared" si="36"/>
        <v>63.647780244173141</v>
      </c>
      <c r="V572" s="32" t="s">
        <v>2211</v>
      </c>
      <c r="W572" s="32">
        <f>VLOOKUP(N572, 'Exchange rate-Kenya'!$A$3:$B$65, 2, 0)</f>
        <v>75.554109451431103</v>
      </c>
      <c r="X572" s="32">
        <f t="shared" si="37"/>
        <v>0.84241321493026433</v>
      </c>
      <c r="Y572" s="32">
        <f>(CPI!$B$112/O572)*X572</f>
        <v>1.3142023578187629</v>
      </c>
      <c r="Z572" s="38" t="s">
        <v>303</v>
      </c>
      <c r="AA572" s="35" t="s">
        <v>1412</v>
      </c>
      <c r="AB572" s="32">
        <v>90100</v>
      </c>
      <c r="AC572" s="43" t="s">
        <v>2266</v>
      </c>
      <c r="AE572" s="32">
        <v>1985</v>
      </c>
      <c r="AF572" s="59" t="s">
        <v>2399</v>
      </c>
      <c r="AG572" s="59"/>
      <c r="AH572" s="59" t="s">
        <v>411</v>
      </c>
      <c r="AI572" s="32" t="s">
        <v>2423</v>
      </c>
      <c r="AJ572" s="36" t="s">
        <v>2422</v>
      </c>
      <c r="AK572" s="40" t="s">
        <v>1056</v>
      </c>
      <c r="AL572" s="32">
        <v>2006</v>
      </c>
      <c r="AM572" s="32" t="s">
        <v>1057</v>
      </c>
      <c r="AN572" s="32" t="s">
        <v>1058</v>
      </c>
      <c r="AP572" s="35" t="s">
        <v>396</v>
      </c>
    </row>
    <row r="573" spans="1:42" x14ac:dyDescent="0.2">
      <c r="A573" s="40">
        <v>62</v>
      </c>
      <c r="B573" s="40">
        <v>572</v>
      </c>
      <c r="C573" s="40" t="s">
        <v>39</v>
      </c>
      <c r="D573" s="38" t="s">
        <v>26</v>
      </c>
      <c r="E573" s="32" t="s">
        <v>2186</v>
      </c>
      <c r="F573" s="32" t="s">
        <v>21</v>
      </c>
      <c r="G573" s="38" t="s">
        <v>163</v>
      </c>
      <c r="H573" s="32" t="s">
        <v>151</v>
      </c>
      <c r="I573" s="32" t="s">
        <v>61</v>
      </c>
      <c r="J573" s="32" t="s">
        <v>1007</v>
      </c>
      <c r="K573" s="32" t="s">
        <v>129</v>
      </c>
      <c r="L573" s="32" t="s">
        <v>30</v>
      </c>
      <c r="M573" s="32" t="s">
        <v>30</v>
      </c>
      <c r="N573" s="40">
        <v>2005</v>
      </c>
      <c r="O573" s="32">
        <f>VLOOKUP(Data!N89, CPI!$A$2:$B$112, 2, 0)</f>
        <v>195.3</v>
      </c>
      <c r="P573" s="32" t="s">
        <v>238</v>
      </c>
      <c r="Q573" s="32" t="s">
        <v>239</v>
      </c>
      <c r="R573" s="32" t="s">
        <v>1034</v>
      </c>
      <c r="S573" s="32">
        <v>8812</v>
      </c>
      <c r="T573" s="32" t="s">
        <v>307</v>
      </c>
      <c r="U573" s="32">
        <f t="shared" si="36"/>
        <v>194.13784683684796</v>
      </c>
      <c r="V573" s="32" t="s">
        <v>2211</v>
      </c>
      <c r="W573" s="32">
        <f>VLOOKUP(N573, 'Exchange rate-Kenya'!$A$3:$B$65, 2, 0)</f>
        <v>75.554109451431103</v>
      </c>
      <c r="X573" s="32">
        <f t="shared" si="37"/>
        <v>2.5695206818849043</v>
      </c>
      <c r="Y573" s="32">
        <f>(CPI!$B$112/O573)*X573</f>
        <v>4.0085673856347999</v>
      </c>
      <c r="Z573" s="38" t="s">
        <v>303</v>
      </c>
      <c r="AA573" s="35" t="s">
        <v>1412</v>
      </c>
      <c r="AB573" s="32">
        <v>90100</v>
      </c>
      <c r="AC573" s="43" t="s">
        <v>2266</v>
      </c>
      <c r="AE573" s="32">
        <v>1985</v>
      </c>
      <c r="AF573" s="59" t="s">
        <v>2400</v>
      </c>
      <c r="AG573" s="59"/>
      <c r="AH573" s="59" t="s">
        <v>411</v>
      </c>
      <c r="AI573" s="32" t="s">
        <v>2423</v>
      </c>
      <c r="AJ573" s="36" t="s">
        <v>2422</v>
      </c>
      <c r="AK573" s="40" t="s">
        <v>1056</v>
      </c>
      <c r="AL573" s="32">
        <v>2006</v>
      </c>
      <c r="AM573" s="32" t="s">
        <v>1057</v>
      </c>
      <c r="AN573" s="32" t="s">
        <v>1058</v>
      </c>
      <c r="AP573" s="35" t="s">
        <v>396</v>
      </c>
    </row>
    <row r="574" spans="1:42" x14ac:dyDescent="0.2">
      <c r="A574" s="40">
        <v>62</v>
      </c>
      <c r="B574" s="40">
        <v>573</v>
      </c>
      <c r="C574" s="40" t="s">
        <v>39</v>
      </c>
      <c r="D574" s="38" t="s">
        <v>26</v>
      </c>
      <c r="E574" s="32" t="s">
        <v>2186</v>
      </c>
      <c r="F574" s="32" t="s">
        <v>21</v>
      </c>
      <c r="G574" s="38" t="s">
        <v>163</v>
      </c>
      <c r="H574" s="32" t="s">
        <v>151</v>
      </c>
      <c r="I574" s="32" t="s">
        <v>61</v>
      </c>
      <c r="J574" s="32" t="s">
        <v>1007</v>
      </c>
      <c r="K574" s="32" t="s">
        <v>129</v>
      </c>
      <c r="L574" s="32" t="s">
        <v>30</v>
      </c>
      <c r="M574" s="32" t="s">
        <v>30</v>
      </c>
      <c r="N574" s="40">
        <v>2005</v>
      </c>
      <c r="O574" s="32">
        <f>VLOOKUP(Data!N90, CPI!$A$2:$B$112, 2, 0)</f>
        <v>195.3</v>
      </c>
      <c r="P574" s="32" t="s">
        <v>238</v>
      </c>
      <c r="Q574" s="32" t="s">
        <v>239</v>
      </c>
      <c r="R574" s="32" t="s">
        <v>1035</v>
      </c>
      <c r="S574" s="32">
        <v>3150</v>
      </c>
      <c r="T574" s="32" t="s">
        <v>307</v>
      </c>
      <c r="U574" s="32">
        <f t="shared" si="36"/>
        <v>69.397891231964479</v>
      </c>
      <c r="V574" s="32" t="s">
        <v>2211</v>
      </c>
      <c r="W574" s="32">
        <f>VLOOKUP(N574, 'Exchange rate-Kenya'!$A$3:$B$65, 2, 0)</f>
        <v>75.554109451431103</v>
      </c>
      <c r="X574" s="32">
        <f t="shared" si="37"/>
        <v>0.91851908169966501</v>
      </c>
      <c r="Y574" s="32">
        <f>(CPI!$B$112/O574)*X574</f>
        <v>1.4329309197400839</v>
      </c>
      <c r="Z574" s="38" t="s">
        <v>303</v>
      </c>
      <c r="AA574" s="35" t="s">
        <v>1412</v>
      </c>
      <c r="AB574" s="32">
        <v>90100</v>
      </c>
      <c r="AC574" s="43" t="s">
        <v>2266</v>
      </c>
      <c r="AE574" s="32">
        <v>1985</v>
      </c>
      <c r="AF574" s="59" t="s">
        <v>2401</v>
      </c>
      <c r="AG574" s="59"/>
      <c r="AH574" s="59" t="s">
        <v>411</v>
      </c>
      <c r="AI574" s="32" t="s">
        <v>2423</v>
      </c>
      <c r="AJ574" s="36" t="s">
        <v>2422</v>
      </c>
      <c r="AK574" s="40" t="s">
        <v>1056</v>
      </c>
      <c r="AL574" s="32">
        <v>2006</v>
      </c>
      <c r="AM574" s="32" t="s">
        <v>1057</v>
      </c>
      <c r="AN574" s="32" t="s">
        <v>1058</v>
      </c>
      <c r="AP574" s="35" t="s">
        <v>396</v>
      </c>
    </row>
    <row r="575" spans="1:42" x14ac:dyDescent="0.2">
      <c r="A575" s="40">
        <v>62</v>
      </c>
      <c r="B575" s="40">
        <v>574</v>
      </c>
      <c r="C575" s="40" t="s">
        <v>39</v>
      </c>
      <c r="D575" s="38" t="s">
        <v>26</v>
      </c>
      <c r="E575" s="32" t="s">
        <v>2186</v>
      </c>
      <c r="F575" s="32" t="s">
        <v>21</v>
      </c>
      <c r="G575" s="38" t="s">
        <v>163</v>
      </c>
      <c r="H575" s="32" t="s">
        <v>151</v>
      </c>
      <c r="I575" s="32" t="s">
        <v>61</v>
      </c>
      <c r="J575" s="32" t="s">
        <v>1007</v>
      </c>
      <c r="K575" s="32" t="s">
        <v>129</v>
      </c>
      <c r="L575" s="32" t="s">
        <v>30</v>
      </c>
      <c r="M575" s="32" t="s">
        <v>30</v>
      </c>
      <c r="N575" s="40">
        <v>2005</v>
      </c>
      <c r="O575" s="32">
        <f>VLOOKUP(Data!N91, CPI!$A$2:$B$112, 2, 0)</f>
        <v>195.3</v>
      </c>
      <c r="P575" s="32" t="s">
        <v>238</v>
      </c>
      <c r="Q575" s="32" t="s">
        <v>239</v>
      </c>
      <c r="R575" s="32" t="s">
        <v>1036</v>
      </c>
      <c r="S575" s="32">
        <v>1800</v>
      </c>
      <c r="T575" s="32" t="s">
        <v>307</v>
      </c>
      <c r="U575" s="32">
        <f t="shared" si="36"/>
        <v>39.655937846836849</v>
      </c>
      <c r="V575" s="32" t="s">
        <v>2211</v>
      </c>
      <c r="W575" s="32">
        <f>VLOOKUP(N575, 'Exchange rate-Kenya'!$A$3:$B$65, 2, 0)</f>
        <v>75.554109451431103</v>
      </c>
      <c r="X575" s="32">
        <f t="shared" si="37"/>
        <v>0.52486804668552289</v>
      </c>
      <c r="Y575" s="32">
        <f>(CPI!$B$112/O575)*X575</f>
        <v>0.81881766842290515</v>
      </c>
      <c r="Z575" s="38" t="s">
        <v>303</v>
      </c>
      <c r="AA575" s="35" t="s">
        <v>1412</v>
      </c>
      <c r="AB575" s="32">
        <v>90100</v>
      </c>
      <c r="AC575" s="43" t="s">
        <v>2266</v>
      </c>
      <c r="AE575" s="32">
        <v>1985</v>
      </c>
      <c r="AF575" s="59" t="s">
        <v>2402</v>
      </c>
      <c r="AG575" s="59"/>
      <c r="AH575" s="59" t="s">
        <v>411</v>
      </c>
      <c r="AI575" s="32" t="s">
        <v>2423</v>
      </c>
      <c r="AJ575" s="36" t="s">
        <v>2422</v>
      </c>
      <c r="AK575" s="40" t="s">
        <v>1056</v>
      </c>
      <c r="AL575" s="32">
        <v>2006</v>
      </c>
      <c r="AM575" s="32" t="s">
        <v>1057</v>
      </c>
      <c r="AN575" s="32" t="s">
        <v>1058</v>
      </c>
      <c r="AP575" s="35" t="s">
        <v>396</v>
      </c>
    </row>
    <row r="576" spans="1:42" x14ac:dyDescent="0.2">
      <c r="A576" s="40">
        <v>62</v>
      </c>
      <c r="B576" s="40">
        <v>575</v>
      </c>
      <c r="C576" s="40" t="s">
        <v>39</v>
      </c>
      <c r="D576" s="38" t="s">
        <v>26</v>
      </c>
      <c r="E576" s="32" t="s">
        <v>2186</v>
      </c>
      <c r="F576" s="32" t="s">
        <v>21</v>
      </c>
      <c r="G576" s="38" t="s">
        <v>163</v>
      </c>
      <c r="H576" s="32" t="s">
        <v>151</v>
      </c>
      <c r="I576" s="32" t="s">
        <v>61</v>
      </c>
      <c r="J576" s="32" t="s">
        <v>1007</v>
      </c>
      <c r="K576" s="32" t="s">
        <v>129</v>
      </c>
      <c r="L576" s="32" t="s">
        <v>30</v>
      </c>
      <c r="M576" s="32" t="s">
        <v>30</v>
      </c>
      <c r="N576" s="40">
        <v>2005</v>
      </c>
      <c r="O576" s="32">
        <f>VLOOKUP(Data!N92, CPI!$A$2:$B$112, 2, 0)</f>
        <v>195.3</v>
      </c>
      <c r="P576" s="32" t="s">
        <v>238</v>
      </c>
      <c r="Q576" s="32" t="s">
        <v>239</v>
      </c>
      <c r="R576" s="32" t="s">
        <v>1037</v>
      </c>
      <c r="S576" s="32">
        <v>17123</v>
      </c>
      <c r="T576" s="32" t="s">
        <v>307</v>
      </c>
      <c r="U576" s="32">
        <f t="shared" si="36"/>
        <v>377.23812430632631</v>
      </c>
      <c r="V576" s="32" t="s">
        <v>2211</v>
      </c>
      <c r="W576" s="32">
        <f>VLOOKUP(N576, 'Exchange rate-Kenya'!$A$3:$B$65, 2, 0)</f>
        <v>75.554109451431103</v>
      </c>
      <c r="X576" s="32">
        <f t="shared" si="37"/>
        <v>4.9929530907756714</v>
      </c>
      <c r="Y576" s="32">
        <f>(CPI!$B$112/O576)*X576</f>
        <v>7.7892305202252254</v>
      </c>
      <c r="Z576" s="38" t="s">
        <v>303</v>
      </c>
      <c r="AA576" s="35" t="s">
        <v>1412</v>
      </c>
      <c r="AB576" s="32">
        <v>90100</v>
      </c>
      <c r="AC576" s="43" t="s">
        <v>2266</v>
      </c>
      <c r="AE576" s="32">
        <v>1985</v>
      </c>
      <c r="AF576" s="59" t="s">
        <v>2403</v>
      </c>
      <c r="AG576" s="59"/>
      <c r="AH576" s="59" t="s">
        <v>411</v>
      </c>
      <c r="AI576" s="32" t="s">
        <v>2423</v>
      </c>
      <c r="AJ576" s="36" t="s">
        <v>2422</v>
      </c>
      <c r="AK576" s="40" t="s">
        <v>1056</v>
      </c>
      <c r="AL576" s="32">
        <v>2006</v>
      </c>
      <c r="AM576" s="32" t="s">
        <v>1057</v>
      </c>
      <c r="AN576" s="32" t="s">
        <v>1058</v>
      </c>
      <c r="AP576" s="35" t="s">
        <v>396</v>
      </c>
    </row>
    <row r="577" spans="1:42" x14ac:dyDescent="0.2">
      <c r="A577" s="40">
        <v>62</v>
      </c>
      <c r="B577" s="40">
        <v>576</v>
      </c>
      <c r="C577" s="40" t="s">
        <v>39</v>
      </c>
      <c r="D577" s="38" t="s">
        <v>26</v>
      </c>
      <c r="E577" s="32" t="s">
        <v>2186</v>
      </c>
      <c r="F577" s="32" t="s">
        <v>21</v>
      </c>
      <c r="G577" s="38" t="s">
        <v>163</v>
      </c>
      <c r="H577" s="32" t="s">
        <v>151</v>
      </c>
      <c r="I577" s="32" t="s">
        <v>61</v>
      </c>
      <c r="J577" s="32" t="s">
        <v>1007</v>
      </c>
      <c r="K577" s="32" t="s">
        <v>129</v>
      </c>
      <c r="L577" s="32" t="s">
        <v>30</v>
      </c>
      <c r="M577" s="32" t="s">
        <v>30</v>
      </c>
      <c r="N577" s="40">
        <v>2005</v>
      </c>
      <c r="O577" s="32">
        <f>VLOOKUP(Data!N93, CPI!$A$2:$B$112, 2, 0)</f>
        <v>195.3</v>
      </c>
      <c r="P577" s="32" t="s">
        <v>238</v>
      </c>
      <c r="Q577" s="32" t="s">
        <v>239</v>
      </c>
      <c r="R577" s="32" t="s">
        <v>1038</v>
      </c>
      <c r="S577" s="32">
        <v>16781</v>
      </c>
      <c r="T577" s="32" t="s">
        <v>307</v>
      </c>
      <c r="U577" s="32">
        <f t="shared" si="36"/>
        <v>369.7034961154273</v>
      </c>
      <c r="V577" s="32" t="s">
        <v>2211</v>
      </c>
      <c r="W577" s="32">
        <f>VLOOKUP(N577, 'Exchange rate-Kenya'!$A$3:$B$65, 2, 0)</f>
        <v>75.554109451431103</v>
      </c>
      <c r="X577" s="32">
        <f t="shared" si="37"/>
        <v>4.8932281619054221</v>
      </c>
      <c r="Y577" s="32">
        <f>(CPI!$B$112/O577)*X577</f>
        <v>7.6336551632248737</v>
      </c>
      <c r="Z577" s="38" t="s">
        <v>303</v>
      </c>
      <c r="AA577" s="35" t="s">
        <v>1412</v>
      </c>
      <c r="AB577" s="32">
        <v>90100</v>
      </c>
      <c r="AC577" s="43" t="s">
        <v>2266</v>
      </c>
      <c r="AE577" s="32">
        <v>1985</v>
      </c>
      <c r="AF577" s="59" t="s">
        <v>2404</v>
      </c>
      <c r="AG577" s="59"/>
      <c r="AH577" s="59" t="s">
        <v>411</v>
      </c>
      <c r="AI577" s="32" t="s">
        <v>2423</v>
      </c>
      <c r="AJ577" s="36" t="s">
        <v>2422</v>
      </c>
      <c r="AK577" s="40" t="s">
        <v>1056</v>
      </c>
      <c r="AL577" s="32">
        <v>2006</v>
      </c>
      <c r="AM577" s="32" t="s">
        <v>1057</v>
      </c>
      <c r="AN577" s="32" t="s">
        <v>1058</v>
      </c>
      <c r="AP577" s="35" t="s">
        <v>396</v>
      </c>
    </row>
    <row r="578" spans="1:42" x14ac:dyDescent="0.2">
      <c r="A578" s="40">
        <v>62</v>
      </c>
      <c r="B578" s="40">
        <v>577</v>
      </c>
      <c r="C578" s="40" t="s">
        <v>39</v>
      </c>
      <c r="D578" s="38" t="s">
        <v>26</v>
      </c>
      <c r="E578" s="32" t="s">
        <v>2186</v>
      </c>
      <c r="F578" s="32" t="s">
        <v>21</v>
      </c>
      <c r="G578" s="38" t="s">
        <v>163</v>
      </c>
      <c r="H578" s="32" t="s">
        <v>151</v>
      </c>
      <c r="I578" s="32" t="s">
        <v>61</v>
      </c>
      <c r="J578" s="32" t="s">
        <v>1007</v>
      </c>
      <c r="K578" s="32" t="s">
        <v>129</v>
      </c>
      <c r="L578" s="32" t="s">
        <v>30</v>
      </c>
      <c r="M578" s="32" t="s">
        <v>30</v>
      </c>
      <c r="N578" s="40">
        <v>2005</v>
      </c>
      <c r="O578" s="32">
        <f>VLOOKUP(Data!N94, CPI!$A$2:$B$112, 2, 0)</f>
        <v>195.3</v>
      </c>
      <c r="P578" s="32" t="s">
        <v>238</v>
      </c>
      <c r="Q578" s="32" t="s">
        <v>239</v>
      </c>
      <c r="R578" s="32" t="s">
        <v>1039</v>
      </c>
      <c r="S578" s="32">
        <v>13613</v>
      </c>
      <c r="T578" s="32" t="s">
        <v>307</v>
      </c>
      <c r="U578" s="32">
        <f t="shared" si="36"/>
        <v>299.90904550499442</v>
      </c>
      <c r="V578" s="32" t="s">
        <v>2211</v>
      </c>
      <c r="W578" s="32">
        <f>VLOOKUP(N578, 'Exchange rate-Kenya'!$A$3:$B$65, 2, 0)</f>
        <v>75.554109451431103</v>
      </c>
      <c r="X578" s="32">
        <f t="shared" si="37"/>
        <v>3.9694603997389017</v>
      </c>
      <c r="Y578" s="32">
        <f>(CPI!$B$112/O578)*X578</f>
        <v>6.1925360668005602</v>
      </c>
      <c r="Z578" s="38" t="s">
        <v>303</v>
      </c>
      <c r="AA578" s="35" t="s">
        <v>1412</v>
      </c>
      <c r="AB578" s="32">
        <v>90100</v>
      </c>
      <c r="AC578" s="43" t="s">
        <v>2266</v>
      </c>
      <c r="AE578" s="32">
        <v>1985</v>
      </c>
      <c r="AF578" s="59" t="s">
        <v>2405</v>
      </c>
      <c r="AG578" s="59"/>
      <c r="AH578" s="59" t="s">
        <v>411</v>
      </c>
      <c r="AI578" s="32" t="s">
        <v>2423</v>
      </c>
      <c r="AJ578" s="36" t="s">
        <v>2422</v>
      </c>
      <c r="AK578" s="40" t="s">
        <v>1056</v>
      </c>
      <c r="AL578" s="32">
        <v>2006</v>
      </c>
      <c r="AM578" s="32" t="s">
        <v>1057</v>
      </c>
      <c r="AN578" s="32" t="s">
        <v>1058</v>
      </c>
      <c r="AP578" s="35" t="s">
        <v>396</v>
      </c>
    </row>
    <row r="579" spans="1:42" x14ac:dyDescent="0.2">
      <c r="A579" s="40">
        <v>62</v>
      </c>
      <c r="B579" s="40">
        <v>578</v>
      </c>
      <c r="C579" s="40" t="s">
        <v>39</v>
      </c>
      <c r="D579" s="38" t="s">
        <v>26</v>
      </c>
      <c r="E579" s="32" t="s">
        <v>2186</v>
      </c>
      <c r="F579" s="32" t="s">
        <v>21</v>
      </c>
      <c r="G579" s="38" t="s">
        <v>163</v>
      </c>
      <c r="H579" s="32" t="s">
        <v>151</v>
      </c>
      <c r="I579" s="32" t="s">
        <v>61</v>
      </c>
      <c r="J579" s="32" t="s">
        <v>1007</v>
      </c>
      <c r="K579" s="32" t="s">
        <v>129</v>
      </c>
      <c r="L579" s="32" t="s">
        <v>30</v>
      </c>
      <c r="M579" s="32" t="s">
        <v>30</v>
      </c>
      <c r="N579" s="40">
        <v>2005</v>
      </c>
      <c r="O579" s="32">
        <f>VLOOKUP(Data!N95, CPI!$A$2:$B$112, 2, 0)</f>
        <v>201.6</v>
      </c>
      <c r="P579" s="32" t="s">
        <v>238</v>
      </c>
      <c r="Q579" s="32" t="s">
        <v>239</v>
      </c>
      <c r="R579" s="32" t="s">
        <v>1040</v>
      </c>
      <c r="S579" s="32">
        <v>17892</v>
      </c>
      <c r="T579" s="32" t="s">
        <v>307</v>
      </c>
      <c r="U579" s="32">
        <f t="shared" si="36"/>
        <v>394.18002219755829</v>
      </c>
      <c r="V579" s="32" t="s">
        <v>2211</v>
      </c>
      <c r="W579" s="32">
        <f>VLOOKUP(N579, 'Exchange rate-Kenya'!$A$3:$B$65, 2, 0)</f>
        <v>75.554109451431103</v>
      </c>
      <c r="X579" s="32">
        <f t="shared" si="37"/>
        <v>5.217188384054098</v>
      </c>
      <c r="Y579" s="32">
        <f>(CPI!$B$112/O579)*X579</f>
        <v>7.8847023858698151</v>
      </c>
      <c r="Z579" s="38" t="s">
        <v>303</v>
      </c>
      <c r="AA579" s="35" t="s">
        <v>1412</v>
      </c>
      <c r="AB579" s="32">
        <v>90100</v>
      </c>
      <c r="AC579" s="43" t="s">
        <v>2266</v>
      </c>
      <c r="AE579" s="32">
        <v>1985</v>
      </c>
      <c r="AF579" s="59" t="s">
        <v>2406</v>
      </c>
      <c r="AG579" s="59"/>
      <c r="AH579" s="59" t="s">
        <v>411</v>
      </c>
      <c r="AI579" s="32" t="s">
        <v>2423</v>
      </c>
      <c r="AJ579" s="36" t="s">
        <v>2422</v>
      </c>
      <c r="AK579" s="40" t="s">
        <v>1056</v>
      </c>
      <c r="AL579" s="32">
        <v>2006</v>
      </c>
      <c r="AM579" s="32" t="s">
        <v>1057</v>
      </c>
      <c r="AN579" s="32" t="s">
        <v>1058</v>
      </c>
      <c r="AP579" s="35" t="s">
        <v>396</v>
      </c>
    </row>
    <row r="580" spans="1:42" x14ac:dyDescent="0.2">
      <c r="A580" s="40">
        <v>62</v>
      </c>
      <c r="B580" s="40">
        <v>579</v>
      </c>
      <c r="C580" s="40" t="s">
        <v>39</v>
      </c>
      <c r="D580" s="38" t="s">
        <v>26</v>
      </c>
      <c r="E580" s="32" t="s">
        <v>2186</v>
      </c>
      <c r="F580" s="32" t="s">
        <v>21</v>
      </c>
      <c r="G580" s="38" t="s">
        <v>163</v>
      </c>
      <c r="H580" s="32" t="s">
        <v>151</v>
      </c>
      <c r="I580" s="32" t="s">
        <v>61</v>
      </c>
      <c r="J580" s="32" t="s">
        <v>1007</v>
      </c>
      <c r="K580" s="32" t="s">
        <v>129</v>
      </c>
      <c r="L580" s="32" t="s">
        <v>30</v>
      </c>
      <c r="M580" s="32" t="s">
        <v>30</v>
      </c>
      <c r="N580" s="40">
        <v>2005</v>
      </c>
      <c r="O580" s="32">
        <f>VLOOKUP(Data!N96, CPI!$A$2:$B$112, 2, 0)</f>
        <v>201.6</v>
      </c>
      <c r="P580" s="32" t="s">
        <v>238</v>
      </c>
      <c r="Q580" s="32" t="s">
        <v>239</v>
      </c>
      <c r="R580" s="32" t="s">
        <v>1041</v>
      </c>
      <c r="S580" s="32">
        <v>15157</v>
      </c>
      <c r="T580" s="32" t="s">
        <v>307</v>
      </c>
      <c r="U580" s="32">
        <f t="shared" si="36"/>
        <v>333.92502774694782</v>
      </c>
      <c r="V580" s="32" t="s">
        <v>2211</v>
      </c>
      <c r="W580" s="32">
        <f>VLOOKUP(N580, 'Exchange rate-Kenya'!$A$3:$B$65, 2, 0)</f>
        <v>75.554109451431103</v>
      </c>
      <c r="X580" s="32">
        <f t="shared" si="37"/>
        <v>4.4196805464513726</v>
      </c>
      <c r="Y580" s="32">
        <f>(CPI!$B$112/O580)*X580</f>
        <v>6.6794340522372444</v>
      </c>
      <c r="Z580" s="38" t="s">
        <v>303</v>
      </c>
      <c r="AA580" s="35" t="s">
        <v>1412</v>
      </c>
      <c r="AB580" s="32">
        <v>90100</v>
      </c>
      <c r="AC580" s="43" t="s">
        <v>2266</v>
      </c>
      <c r="AE580" s="32">
        <v>1985</v>
      </c>
      <c r="AF580" s="59" t="s">
        <v>2407</v>
      </c>
      <c r="AG580" s="59"/>
      <c r="AH580" s="59" t="s">
        <v>411</v>
      </c>
      <c r="AI580" s="32" t="s">
        <v>2423</v>
      </c>
      <c r="AJ580" s="36" t="s">
        <v>2422</v>
      </c>
      <c r="AK580" s="40" t="s">
        <v>1056</v>
      </c>
      <c r="AL580" s="32">
        <v>2006</v>
      </c>
      <c r="AM580" s="32" t="s">
        <v>1057</v>
      </c>
      <c r="AN580" s="32" t="s">
        <v>1058</v>
      </c>
      <c r="AP580" s="35" t="s">
        <v>396</v>
      </c>
    </row>
    <row r="581" spans="1:42" x14ac:dyDescent="0.2">
      <c r="A581" s="40">
        <v>62</v>
      </c>
      <c r="B581" s="40">
        <v>580</v>
      </c>
      <c r="C581" s="40" t="s">
        <v>39</v>
      </c>
      <c r="D581" s="38" t="s">
        <v>26</v>
      </c>
      <c r="E581" s="32" t="s">
        <v>2186</v>
      </c>
      <c r="F581" s="32" t="s">
        <v>21</v>
      </c>
      <c r="G581" s="38" t="s">
        <v>163</v>
      </c>
      <c r="H581" s="32" t="s">
        <v>151</v>
      </c>
      <c r="I581" s="32" t="s">
        <v>61</v>
      </c>
      <c r="J581" s="32" t="s">
        <v>1007</v>
      </c>
      <c r="K581" s="32" t="s">
        <v>129</v>
      </c>
      <c r="L581" s="32" t="s">
        <v>30</v>
      </c>
      <c r="M581" s="32" t="s">
        <v>30</v>
      </c>
      <c r="N581" s="40">
        <v>2005</v>
      </c>
      <c r="O581" s="32">
        <f>VLOOKUP(Data!N97, CPI!$A$2:$B$112, 2, 0)</f>
        <v>201.6</v>
      </c>
      <c r="P581" s="32" t="s">
        <v>238</v>
      </c>
      <c r="Q581" s="32" t="s">
        <v>239</v>
      </c>
      <c r="R581" s="32" t="s">
        <v>1042</v>
      </c>
      <c r="S581" s="32">
        <v>3707</v>
      </c>
      <c r="T581" s="32" t="s">
        <v>307</v>
      </c>
      <c r="U581" s="32">
        <f t="shared" si="36"/>
        <v>81.669200887902335</v>
      </c>
      <c r="V581" s="32" t="s">
        <v>2211</v>
      </c>
      <c r="W581" s="32">
        <f>VLOOKUP(N581, 'Exchange rate-Kenya'!$A$3:$B$65, 2, 0)</f>
        <v>75.554109451431103</v>
      </c>
      <c r="X581" s="32">
        <f t="shared" si="37"/>
        <v>1.0809365828129076</v>
      </c>
      <c r="Y581" s="32">
        <f>(CPI!$B$112/O581)*X581</f>
        <v>1.6336123264263025</v>
      </c>
      <c r="Z581" s="38" t="s">
        <v>303</v>
      </c>
      <c r="AA581" s="35" t="s">
        <v>1412</v>
      </c>
      <c r="AB581" s="32">
        <v>90100</v>
      </c>
      <c r="AC581" s="43" t="s">
        <v>2266</v>
      </c>
      <c r="AE581" s="32">
        <v>1985</v>
      </c>
      <c r="AF581" s="59" t="s">
        <v>2408</v>
      </c>
      <c r="AG581" s="59"/>
      <c r="AH581" s="59" t="s">
        <v>411</v>
      </c>
      <c r="AI581" s="32" t="s">
        <v>2423</v>
      </c>
      <c r="AJ581" s="36" t="s">
        <v>2422</v>
      </c>
      <c r="AK581" s="40" t="s">
        <v>1056</v>
      </c>
      <c r="AL581" s="32">
        <v>2006</v>
      </c>
      <c r="AM581" s="32" t="s">
        <v>1057</v>
      </c>
      <c r="AN581" s="32" t="s">
        <v>1058</v>
      </c>
      <c r="AP581" s="35" t="s">
        <v>396</v>
      </c>
    </row>
    <row r="582" spans="1:42" x14ac:dyDescent="0.2">
      <c r="A582" s="40">
        <v>62</v>
      </c>
      <c r="B582" s="40">
        <v>581</v>
      </c>
      <c r="C582" s="40" t="s">
        <v>39</v>
      </c>
      <c r="D582" s="38" t="s">
        <v>26</v>
      </c>
      <c r="E582" s="32" t="s">
        <v>2186</v>
      </c>
      <c r="F582" s="32" t="s">
        <v>21</v>
      </c>
      <c r="G582" s="38" t="s">
        <v>163</v>
      </c>
      <c r="H582" s="32" t="s">
        <v>151</v>
      </c>
      <c r="I582" s="32" t="s">
        <v>61</v>
      </c>
      <c r="J582" s="32" t="s">
        <v>1007</v>
      </c>
      <c r="K582" s="32" t="s">
        <v>129</v>
      </c>
      <c r="L582" s="32" t="s">
        <v>30</v>
      </c>
      <c r="M582" s="32" t="s">
        <v>30</v>
      </c>
      <c r="N582" s="40">
        <v>2005</v>
      </c>
      <c r="O582" s="32">
        <f>VLOOKUP(Data!N98, CPI!$A$2:$B$112, 2, 0)</f>
        <v>201.6</v>
      </c>
      <c r="P582" s="32" t="s">
        <v>238</v>
      </c>
      <c r="Q582" s="32" t="s">
        <v>239</v>
      </c>
      <c r="R582" s="32" t="s">
        <v>1045</v>
      </c>
      <c r="S582" s="32">
        <v>5393</v>
      </c>
      <c r="T582" s="32" t="s">
        <v>307</v>
      </c>
      <c r="U582" s="32">
        <f t="shared" si="36"/>
        <v>118.81359600443952</v>
      </c>
      <c r="V582" s="32" t="s">
        <v>2211</v>
      </c>
      <c r="W582" s="32">
        <f>VLOOKUP(N582, 'Exchange rate-Kenya'!$A$3:$B$65, 2, 0)</f>
        <v>75.554109451431103</v>
      </c>
      <c r="X582" s="32">
        <f t="shared" si="37"/>
        <v>1.5725629865416806</v>
      </c>
      <c r="Y582" s="32">
        <f>(CPI!$B$112/O582)*X582</f>
        <v>2.3766040670129618</v>
      </c>
      <c r="Z582" s="38" t="s">
        <v>303</v>
      </c>
      <c r="AA582" s="35" t="s">
        <v>1412</v>
      </c>
      <c r="AB582" s="32">
        <v>90100</v>
      </c>
      <c r="AC582" s="43" t="s">
        <v>2266</v>
      </c>
      <c r="AE582" s="32">
        <v>1985</v>
      </c>
      <c r="AF582" s="59" t="s">
        <v>2409</v>
      </c>
      <c r="AG582" s="59"/>
      <c r="AH582" s="59" t="s">
        <v>411</v>
      </c>
      <c r="AI582" s="32" t="s">
        <v>2423</v>
      </c>
      <c r="AJ582" s="36" t="s">
        <v>2422</v>
      </c>
      <c r="AK582" s="40" t="s">
        <v>1056</v>
      </c>
      <c r="AL582" s="32">
        <v>2006</v>
      </c>
      <c r="AM582" s="32" t="s">
        <v>1057</v>
      </c>
      <c r="AN582" s="32" t="s">
        <v>1058</v>
      </c>
      <c r="AP582" s="35" t="s">
        <v>396</v>
      </c>
    </row>
    <row r="583" spans="1:42" x14ac:dyDescent="0.2">
      <c r="A583" s="40">
        <v>62</v>
      </c>
      <c r="B583" s="40">
        <v>582</v>
      </c>
      <c r="C583" s="40" t="s">
        <v>39</v>
      </c>
      <c r="D583" s="38" t="s">
        <v>26</v>
      </c>
      <c r="E583" s="32" t="s">
        <v>2186</v>
      </c>
      <c r="F583" s="32" t="s">
        <v>21</v>
      </c>
      <c r="G583" s="38" t="s">
        <v>163</v>
      </c>
      <c r="H583" s="32" t="s">
        <v>151</v>
      </c>
      <c r="I583" s="32" t="s">
        <v>61</v>
      </c>
      <c r="J583" s="32" t="s">
        <v>1007</v>
      </c>
      <c r="K583" s="32" t="s">
        <v>129</v>
      </c>
      <c r="L583" s="32" t="s">
        <v>30</v>
      </c>
      <c r="M583" s="32" t="s">
        <v>30</v>
      </c>
      <c r="N583" s="40">
        <v>2005</v>
      </c>
      <c r="O583" s="32">
        <f>VLOOKUP(Data!N99, CPI!$A$2:$B$112, 2, 0)</f>
        <v>201.6</v>
      </c>
      <c r="P583" s="32" t="s">
        <v>238</v>
      </c>
      <c r="Q583" s="32" t="s">
        <v>239</v>
      </c>
      <c r="R583" s="32" t="s">
        <v>1043</v>
      </c>
      <c r="S583" s="32">
        <v>3097</v>
      </c>
      <c r="T583" s="32" t="s">
        <v>307</v>
      </c>
      <c r="U583" s="32">
        <f t="shared" si="36"/>
        <v>68.23024417314096</v>
      </c>
      <c r="V583" s="32" t="s">
        <v>2211</v>
      </c>
      <c r="W583" s="32">
        <f>VLOOKUP(N583, 'Exchange rate-Kenya'!$A$3:$B$65, 2, 0)</f>
        <v>75.554109451431103</v>
      </c>
      <c r="X583" s="32">
        <f t="shared" si="37"/>
        <v>0.9030646336583692</v>
      </c>
      <c r="Y583" s="32">
        <f>(CPI!$B$112/O583)*X583</f>
        <v>1.3647956231298244</v>
      </c>
      <c r="Z583" s="38" t="s">
        <v>303</v>
      </c>
      <c r="AA583" s="35" t="s">
        <v>1412</v>
      </c>
      <c r="AB583" s="32">
        <v>90100</v>
      </c>
      <c r="AC583" s="43" t="s">
        <v>2266</v>
      </c>
      <c r="AE583" s="32">
        <v>1985</v>
      </c>
      <c r="AF583" s="59" t="s">
        <v>2410</v>
      </c>
      <c r="AG583" s="59"/>
      <c r="AH583" s="59" t="s">
        <v>411</v>
      </c>
      <c r="AI583" s="32" t="s">
        <v>2423</v>
      </c>
      <c r="AJ583" s="36" t="s">
        <v>2422</v>
      </c>
      <c r="AK583" s="40" t="s">
        <v>1056</v>
      </c>
      <c r="AL583" s="32">
        <v>2006</v>
      </c>
      <c r="AM583" s="32" t="s">
        <v>1057</v>
      </c>
      <c r="AN583" s="32" t="s">
        <v>1058</v>
      </c>
      <c r="AP583" s="35" t="s">
        <v>396</v>
      </c>
    </row>
    <row r="584" spans="1:42" x14ac:dyDescent="0.2">
      <c r="A584" s="40">
        <v>62</v>
      </c>
      <c r="B584" s="40">
        <v>583</v>
      </c>
      <c r="C584" s="40" t="s">
        <v>39</v>
      </c>
      <c r="D584" s="38" t="s">
        <v>26</v>
      </c>
      <c r="E584" s="32" t="s">
        <v>2186</v>
      </c>
      <c r="F584" s="32" t="s">
        <v>21</v>
      </c>
      <c r="G584" s="38" t="s">
        <v>163</v>
      </c>
      <c r="H584" s="32" t="s">
        <v>151</v>
      </c>
      <c r="I584" s="32" t="s">
        <v>61</v>
      </c>
      <c r="J584" s="32" t="s">
        <v>1007</v>
      </c>
      <c r="K584" s="32" t="s">
        <v>129</v>
      </c>
      <c r="L584" s="32" t="s">
        <v>30</v>
      </c>
      <c r="M584" s="32" t="s">
        <v>30</v>
      </c>
      <c r="N584" s="40">
        <v>2005</v>
      </c>
      <c r="O584" s="32">
        <f>VLOOKUP(Data!N100, CPI!$A$2:$B$112, 2, 0)</f>
        <v>201.6</v>
      </c>
      <c r="P584" s="32" t="s">
        <v>238</v>
      </c>
      <c r="Q584" s="32" t="s">
        <v>239</v>
      </c>
      <c r="R584" s="32" t="s">
        <v>1044</v>
      </c>
      <c r="S584" s="32">
        <v>1349</v>
      </c>
      <c r="T584" s="32" t="s">
        <v>307</v>
      </c>
      <c r="U584" s="32">
        <f t="shared" si="36"/>
        <v>29.71992230854606</v>
      </c>
      <c r="V584" s="32" t="s">
        <v>2211</v>
      </c>
      <c r="W584" s="32">
        <f>VLOOKUP(N584, 'Exchange rate-Kenya'!$A$3:$B$65, 2, 0)</f>
        <v>75.554109451431103</v>
      </c>
      <c r="X584" s="32">
        <f t="shared" si="37"/>
        <v>0.39335944165487247</v>
      </c>
      <c r="Y584" s="32">
        <f>(CPI!$B$112/O584)*X584</f>
        <v>0.59448152909335905</v>
      </c>
      <c r="Z584" s="38" t="s">
        <v>303</v>
      </c>
      <c r="AA584" s="35" t="s">
        <v>1412</v>
      </c>
      <c r="AB584" s="32">
        <v>90100</v>
      </c>
      <c r="AC584" s="43" t="s">
        <v>2266</v>
      </c>
      <c r="AE584" s="32">
        <v>1985</v>
      </c>
      <c r="AF584" s="59" t="s">
        <v>2411</v>
      </c>
      <c r="AG584" s="59"/>
      <c r="AH584" s="59" t="s">
        <v>411</v>
      </c>
      <c r="AI584" s="32" t="s">
        <v>2423</v>
      </c>
      <c r="AJ584" s="36" t="s">
        <v>2422</v>
      </c>
      <c r="AK584" s="40" t="s">
        <v>1056</v>
      </c>
      <c r="AL584" s="32">
        <v>2006</v>
      </c>
      <c r="AM584" s="32" t="s">
        <v>1057</v>
      </c>
      <c r="AN584" s="32" t="s">
        <v>1058</v>
      </c>
      <c r="AP584" s="35" t="s">
        <v>396</v>
      </c>
    </row>
    <row r="585" spans="1:42" x14ac:dyDescent="0.2">
      <c r="A585" s="40">
        <v>62</v>
      </c>
      <c r="B585" s="40">
        <v>584</v>
      </c>
      <c r="C585" s="40" t="s">
        <v>39</v>
      </c>
      <c r="D585" s="38" t="s">
        <v>26</v>
      </c>
      <c r="E585" s="32" t="s">
        <v>2186</v>
      </c>
      <c r="F585" s="32" t="s">
        <v>21</v>
      </c>
      <c r="G585" s="38" t="s">
        <v>163</v>
      </c>
      <c r="H585" s="32" t="s">
        <v>151</v>
      </c>
      <c r="I585" s="32" t="s">
        <v>61</v>
      </c>
      <c r="J585" s="32" t="s">
        <v>1007</v>
      </c>
      <c r="K585" s="32" t="s">
        <v>129</v>
      </c>
      <c r="L585" s="32" t="s">
        <v>30</v>
      </c>
      <c r="M585" s="32" t="s">
        <v>30</v>
      </c>
      <c r="N585" s="40">
        <v>2005</v>
      </c>
      <c r="O585" s="32">
        <f>VLOOKUP(Data!N101, CPI!$A$2:$B$112, 2, 0)</f>
        <v>201.6</v>
      </c>
      <c r="P585" s="32" t="s">
        <v>238</v>
      </c>
      <c r="Q585" s="32" t="s">
        <v>239</v>
      </c>
      <c r="R585" s="32" t="s">
        <v>1046</v>
      </c>
      <c r="S585" s="32">
        <v>17134</v>
      </c>
      <c r="T585" s="32" t="s">
        <v>307</v>
      </c>
      <c r="U585" s="32">
        <f t="shared" si="36"/>
        <v>377.48046614872362</v>
      </c>
      <c r="V585" s="32" t="s">
        <v>2211</v>
      </c>
      <c r="W585" s="32">
        <f>VLOOKUP(N585, 'Exchange rate-Kenya'!$A$3:$B$65, 2, 0)</f>
        <v>75.554109451431103</v>
      </c>
      <c r="X585" s="32">
        <f t="shared" si="37"/>
        <v>4.9961606177276385</v>
      </c>
      <c r="Y585" s="32">
        <f>(CPI!$B$112/O585)*X585</f>
        <v>7.5506645807899284</v>
      </c>
      <c r="Z585" s="38" t="s">
        <v>303</v>
      </c>
      <c r="AA585" s="35" t="s">
        <v>1412</v>
      </c>
      <c r="AB585" s="32">
        <v>90100</v>
      </c>
      <c r="AC585" s="43" t="s">
        <v>2266</v>
      </c>
      <c r="AE585" s="32">
        <v>1985</v>
      </c>
      <c r="AF585" s="59" t="s">
        <v>2412</v>
      </c>
      <c r="AG585" s="59"/>
      <c r="AH585" s="59" t="s">
        <v>411</v>
      </c>
      <c r="AI585" s="32" t="s">
        <v>2423</v>
      </c>
      <c r="AJ585" s="36" t="s">
        <v>2422</v>
      </c>
      <c r="AK585" s="40" t="s">
        <v>1056</v>
      </c>
      <c r="AL585" s="32">
        <v>2006</v>
      </c>
      <c r="AM585" s="32" t="s">
        <v>1057</v>
      </c>
      <c r="AN585" s="32" t="s">
        <v>1058</v>
      </c>
      <c r="AP585" s="35" t="s">
        <v>396</v>
      </c>
    </row>
    <row r="586" spans="1:42" x14ac:dyDescent="0.2">
      <c r="A586" s="40">
        <v>62</v>
      </c>
      <c r="B586" s="40">
        <v>585</v>
      </c>
      <c r="C586" s="40" t="s">
        <v>39</v>
      </c>
      <c r="D586" s="38" t="s">
        <v>26</v>
      </c>
      <c r="E586" s="32" t="s">
        <v>2186</v>
      </c>
      <c r="F586" s="32" t="s">
        <v>21</v>
      </c>
      <c r="G586" s="38" t="s">
        <v>163</v>
      </c>
      <c r="H586" s="32" t="s">
        <v>151</v>
      </c>
      <c r="I586" s="32" t="s">
        <v>61</v>
      </c>
      <c r="J586" s="32" t="s">
        <v>1007</v>
      </c>
      <c r="K586" s="32" t="s">
        <v>129</v>
      </c>
      <c r="L586" s="32" t="s">
        <v>30</v>
      </c>
      <c r="M586" s="32" t="s">
        <v>30</v>
      </c>
      <c r="N586" s="40">
        <v>2005</v>
      </c>
      <c r="O586" s="32">
        <f>VLOOKUP(Data!N102, CPI!$A$2:$B$112, 2, 0)</f>
        <v>201.6</v>
      </c>
      <c r="P586" s="32" t="s">
        <v>238</v>
      </c>
      <c r="Q586" s="32" t="s">
        <v>239</v>
      </c>
      <c r="R586" s="32" t="s">
        <v>1047</v>
      </c>
      <c r="S586" s="32">
        <v>3073</v>
      </c>
      <c r="T586" s="32" t="s">
        <v>307</v>
      </c>
      <c r="U586" s="32">
        <f t="shared" si="36"/>
        <v>67.701498335183132</v>
      </c>
      <c r="V586" s="32" t="s">
        <v>2211</v>
      </c>
      <c r="W586" s="32">
        <f>VLOOKUP(N586, 'Exchange rate-Kenya'!$A$3:$B$65, 2, 0)</f>
        <v>75.554109451431103</v>
      </c>
      <c r="X586" s="32">
        <f t="shared" si="37"/>
        <v>0.89606639303589553</v>
      </c>
      <c r="Y586" s="32">
        <f>(CPI!$B$112/O586)*X586</f>
        <v>1.3542192282460284</v>
      </c>
      <c r="Z586" s="38" t="s">
        <v>303</v>
      </c>
      <c r="AA586" s="35" t="s">
        <v>1412</v>
      </c>
      <c r="AB586" s="32">
        <v>90100</v>
      </c>
      <c r="AC586" s="43" t="s">
        <v>2266</v>
      </c>
      <c r="AE586" s="32">
        <v>1985</v>
      </c>
      <c r="AF586" s="59" t="s">
        <v>2413</v>
      </c>
      <c r="AG586" s="59"/>
      <c r="AH586" s="59" t="s">
        <v>411</v>
      </c>
      <c r="AI586" s="32" t="s">
        <v>2423</v>
      </c>
      <c r="AJ586" s="36" t="s">
        <v>2422</v>
      </c>
      <c r="AK586" s="40" t="s">
        <v>1056</v>
      </c>
      <c r="AL586" s="32">
        <v>2006</v>
      </c>
      <c r="AM586" s="32" t="s">
        <v>1057</v>
      </c>
      <c r="AN586" s="32" t="s">
        <v>1058</v>
      </c>
      <c r="AP586" s="35" t="s">
        <v>396</v>
      </c>
    </row>
    <row r="587" spans="1:42" x14ac:dyDescent="0.2">
      <c r="A587" s="40">
        <v>62</v>
      </c>
      <c r="B587" s="40">
        <v>586</v>
      </c>
      <c r="C587" s="40" t="s">
        <v>39</v>
      </c>
      <c r="D587" s="38" t="s">
        <v>26</v>
      </c>
      <c r="E587" s="32" t="s">
        <v>2186</v>
      </c>
      <c r="F587" s="32" t="s">
        <v>21</v>
      </c>
      <c r="G587" s="38" t="s">
        <v>163</v>
      </c>
      <c r="H587" s="32" t="s">
        <v>151</v>
      </c>
      <c r="I587" s="32" t="s">
        <v>61</v>
      </c>
      <c r="J587" s="32" t="s">
        <v>1007</v>
      </c>
      <c r="K587" s="32" t="s">
        <v>129</v>
      </c>
      <c r="L587" s="32" t="s">
        <v>30</v>
      </c>
      <c r="M587" s="32" t="s">
        <v>30</v>
      </c>
      <c r="N587" s="40">
        <v>2005</v>
      </c>
      <c r="O587" s="32">
        <f>VLOOKUP(Data!N103, CPI!$A$2:$B$112, 2, 0)</f>
        <v>201.6</v>
      </c>
      <c r="P587" s="32" t="s">
        <v>238</v>
      </c>
      <c r="Q587" s="32" t="s">
        <v>239</v>
      </c>
      <c r="R587" s="32" t="s">
        <v>1048</v>
      </c>
      <c r="S587" s="32">
        <v>7044</v>
      </c>
      <c r="T587" s="32" t="s">
        <v>307</v>
      </c>
      <c r="U587" s="32">
        <f t="shared" si="36"/>
        <v>155.18690344062153</v>
      </c>
      <c r="V587" s="32" t="s">
        <v>2211</v>
      </c>
      <c r="W587" s="32">
        <f>VLOOKUP(N587, 'Exchange rate-Kenya'!$A$3:$B$65, 2, 0)</f>
        <v>75.554109451431103</v>
      </c>
      <c r="X587" s="32">
        <f t="shared" si="37"/>
        <v>2.0539836226960131</v>
      </c>
      <c r="Y587" s="32">
        <f>(CPI!$B$112/O587)*X587</f>
        <v>3.1041718983940854</v>
      </c>
      <c r="Z587" s="38" t="s">
        <v>303</v>
      </c>
      <c r="AA587" s="35" t="s">
        <v>1412</v>
      </c>
      <c r="AB587" s="32">
        <v>90100</v>
      </c>
      <c r="AC587" s="43" t="s">
        <v>2266</v>
      </c>
      <c r="AE587" s="32">
        <v>1985</v>
      </c>
      <c r="AF587" s="59" t="s">
        <v>2414</v>
      </c>
      <c r="AG587" s="59"/>
      <c r="AH587" s="59" t="s">
        <v>411</v>
      </c>
      <c r="AI587" s="32" t="s">
        <v>2423</v>
      </c>
      <c r="AJ587" s="36" t="s">
        <v>2422</v>
      </c>
      <c r="AK587" s="40" t="s">
        <v>1056</v>
      </c>
      <c r="AL587" s="32">
        <v>2006</v>
      </c>
      <c r="AM587" s="32" t="s">
        <v>1057</v>
      </c>
      <c r="AN587" s="32" t="s">
        <v>1058</v>
      </c>
      <c r="AP587" s="35" t="s">
        <v>396</v>
      </c>
    </row>
    <row r="588" spans="1:42" x14ac:dyDescent="0.2">
      <c r="A588" s="40">
        <v>62</v>
      </c>
      <c r="B588" s="40">
        <v>587</v>
      </c>
      <c r="C588" s="40" t="s">
        <v>39</v>
      </c>
      <c r="D588" s="38" t="s">
        <v>26</v>
      </c>
      <c r="E588" s="32" t="s">
        <v>2186</v>
      </c>
      <c r="F588" s="32" t="s">
        <v>21</v>
      </c>
      <c r="G588" s="38" t="s">
        <v>163</v>
      </c>
      <c r="H588" s="32" t="s">
        <v>151</v>
      </c>
      <c r="I588" s="32" t="s">
        <v>61</v>
      </c>
      <c r="J588" s="32" t="s">
        <v>1007</v>
      </c>
      <c r="K588" s="32" t="s">
        <v>129</v>
      </c>
      <c r="L588" s="32" t="s">
        <v>30</v>
      </c>
      <c r="M588" s="32" t="s">
        <v>30</v>
      </c>
      <c r="N588" s="40">
        <v>2005</v>
      </c>
      <c r="O588" s="32">
        <f>VLOOKUP(Data!N104, CPI!$A$2:$B$112, 2, 0)</f>
        <v>201.6</v>
      </c>
      <c r="P588" s="32" t="s">
        <v>238</v>
      </c>
      <c r="Q588" s="32" t="s">
        <v>239</v>
      </c>
      <c r="R588" s="32" t="s">
        <v>1049</v>
      </c>
      <c r="S588" s="32">
        <v>3123</v>
      </c>
      <c r="T588" s="32" t="s">
        <v>307</v>
      </c>
      <c r="U588" s="32">
        <f t="shared" si="36"/>
        <v>68.803052164261928</v>
      </c>
      <c r="V588" s="32" t="s">
        <v>2211</v>
      </c>
      <c r="W588" s="32">
        <f>VLOOKUP(N588, 'Exchange rate-Kenya'!$A$3:$B$65, 2, 0)</f>
        <v>75.554109451431103</v>
      </c>
      <c r="X588" s="32">
        <f t="shared" si="37"/>
        <v>0.91064606099938217</v>
      </c>
      <c r="Y588" s="32">
        <f>(CPI!$B$112/O588)*X588</f>
        <v>1.3762533842539362</v>
      </c>
      <c r="Z588" s="38" t="s">
        <v>303</v>
      </c>
      <c r="AA588" s="35" t="s">
        <v>1412</v>
      </c>
      <c r="AB588" s="32">
        <v>90100</v>
      </c>
      <c r="AC588" s="43" t="s">
        <v>2266</v>
      </c>
      <c r="AE588" s="32">
        <v>1985</v>
      </c>
      <c r="AF588" s="59" t="s">
        <v>2415</v>
      </c>
      <c r="AG588" s="59"/>
      <c r="AH588" s="59" t="s">
        <v>411</v>
      </c>
      <c r="AI588" s="32" t="s">
        <v>2423</v>
      </c>
      <c r="AJ588" s="36" t="s">
        <v>2422</v>
      </c>
      <c r="AK588" s="40" t="s">
        <v>1056</v>
      </c>
      <c r="AL588" s="32">
        <v>2006</v>
      </c>
      <c r="AM588" s="32" t="s">
        <v>1057</v>
      </c>
      <c r="AN588" s="32" t="s">
        <v>1058</v>
      </c>
      <c r="AP588" s="35" t="s">
        <v>396</v>
      </c>
    </row>
    <row r="589" spans="1:42" x14ac:dyDescent="0.2">
      <c r="A589" s="40">
        <v>62</v>
      </c>
      <c r="B589" s="40">
        <v>588</v>
      </c>
      <c r="C589" s="40" t="s">
        <v>39</v>
      </c>
      <c r="D589" s="38" t="s">
        <v>26</v>
      </c>
      <c r="E589" s="32" t="s">
        <v>2186</v>
      </c>
      <c r="F589" s="32" t="s">
        <v>21</v>
      </c>
      <c r="G589" s="38" t="s">
        <v>163</v>
      </c>
      <c r="H589" s="32" t="s">
        <v>151</v>
      </c>
      <c r="I589" s="32" t="s">
        <v>61</v>
      </c>
      <c r="J589" s="32" t="s">
        <v>1007</v>
      </c>
      <c r="K589" s="32" t="s">
        <v>129</v>
      </c>
      <c r="L589" s="32" t="s">
        <v>30</v>
      </c>
      <c r="M589" s="32" t="s">
        <v>30</v>
      </c>
      <c r="N589" s="40">
        <v>2005</v>
      </c>
      <c r="O589" s="32">
        <f>VLOOKUP(Data!N105, CPI!$A$2:$B$112, 2, 0)</f>
        <v>201.6</v>
      </c>
      <c r="P589" s="32" t="s">
        <v>238</v>
      </c>
      <c r="Q589" s="32" t="s">
        <v>239</v>
      </c>
      <c r="R589" s="32" t="s">
        <v>1050</v>
      </c>
      <c r="S589" s="32">
        <v>1249</v>
      </c>
      <c r="T589" s="32" t="s">
        <v>307</v>
      </c>
      <c r="U589" s="32">
        <f t="shared" si="36"/>
        <v>27.516814650388458</v>
      </c>
      <c r="V589" s="32" t="s">
        <v>2211</v>
      </c>
      <c r="W589" s="32">
        <f>VLOOKUP(N589, 'Exchange rate-Kenya'!$A$3:$B$65, 2, 0)</f>
        <v>75.554109451431103</v>
      </c>
      <c r="X589" s="32">
        <f t="shared" si="37"/>
        <v>0.36420010572789896</v>
      </c>
      <c r="Y589" s="32">
        <f>(CPI!$B$112/O589)*X589</f>
        <v>0.55041321707754298</v>
      </c>
      <c r="Z589" s="38" t="s">
        <v>303</v>
      </c>
      <c r="AA589" s="35" t="s">
        <v>1412</v>
      </c>
      <c r="AB589" s="32">
        <v>90100</v>
      </c>
      <c r="AC589" s="43" t="s">
        <v>2266</v>
      </c>
      <c r="AE589" s="32">
        <v>1985</v>
      </c>
      <c r="AF589" s="59" t="s">
        <v>2416</v>
      </c>
      <c r="AG589" s="59"/>
      <c r="AH589" s="59" t="s">
        <v>411</v>
      </c>
      <c r="AI589" s="32" t="s">
        <v>2423</v>
      </c>
      <c r="AJ589" s="36" t="s">
        <v>2422</v>
      </c>
      <c r="AK589" s="40" t="s">
        <v>1056</v>
      </c>
      <c r="AL589" s="32">
        <v>2006</v>
      </c>
      <c r="AM589" s="32" t="s">
        <v>1057</v>
      </c>
      <c r="AN589" s="32" t="s">
        <v>1058</v>
      </c>
      <c r="AP589" s="35" t="s">
        <v>396</v>
      </c>
    </row>
    <row r="590" spans="1:42" x14ac:dyDescent="0.2">
      <c r="A590" s="40">
        <v>62</v>
      </c>
      <c r="B590" s="40">
        <v>589</v>
      </c>
      <c r="C590" s="40" t="s">
        <v>39</v>
      </c>
      <c r="D590" s="38" t="s">
        <v>26</v>
      </c>
      <c r="E590" s="32" t="s">
        <v>2186</v>
      </c>
      <c r="F590" s="32" t="s">
        <v>21</v>
      </c>
      <c r="G590" s="38" t="s">
        <v>163</v>
      </c>
      <c r="H590" s="32" t="s">
        <v>151</v>
      </c>
      <c r="I590" s="32" t="s">
        <v>61</v>
      </c>
      <c r="J590" s="32" t="s">
        <v>1007</v>
      </c>
      <c r="K590" s="32" t="s">
        <v>129</v>
      </c>
      <c r="L590" s="32" t="s">
        <v>30</v>
      </c>
      <c r="M590" s="32" t="s">
        <v>30</v>
      </c>
      <c r="N590" s="40">
        <v>2005</v>
      </c>
      <c r="O590" s="32">
        <f>VLOOKUP(Data!N106, CPI!$A$2:$B$112, 2, 0)</f>
        <v>214.53700000000001</v>
      </c>
      <c r="P590" s="32" t="s">
        <v>238</v>
      </c>
      <c r="Q590" s="32" t="s">
        <v>239</v>
      </c>
      <c r="R590" s="32" t="s">
        <v>1051</v>
      </c>
      <c r="S590" s="32">
        <v>23521</v>
      </c>
      <c r="T590" s="32" t="s">
        <v>307</v>
      </c>
      <c r="U590" s="32">
        <f t="shared" si="36"/>
        <v>518.1929522752497</v>
      </c>
      <c r="V590" s="32" t="s">
        <v>2211</v>
      </c>
      <c r="W590" s="32">
        <f>VLOOKUP(N590, 'Exchange rate-Kenya'!$A$3:$B$65, 2, 0)</f>
        <v>75.554109451431103</v>
      </c>
      <c r="X590" s="32">
        <f t="shared" si="37"/>
        <v>6.8585674033834358</v>
      </c>
      <c r="Y590" s="32">
        <f>(CPI!$B$112/O590)*X590</f>
        <v>9.7402593777241435</v>
      </c>
      <c r="Z590" s="38" t="s">
        <v>303</v>
      </c>
      <c r="AA590" s="35" t="s">
        <v>1412</v>
      </c>
      <c r="AB590" s="32">
        <v>90100</v>
      </c>
      <c r="AC590" s="43" t="s">
        <v>2266</v>
      </c>
      <c r="AE590" s="32">
        <v>1985</v>
      </c>
      <c r="AF590" s="59" t="s">
        <v>2417</v>
      </c>
      <c r="AG590" s="59"/>
      <c r="AH590" s="59" t="s">
        <v>411</v>
      </c>
      <c r="AI590" s="32" t="s">
        <v>2423</v>
      </c>
      <c r="AJ590" s="36" t="s">
        <v>2422</v>
      </c>
      <c r="AK590" s="40" t="s">
        <v>1056</v>
      </c>
      <c r="AL590" s="32">
        <v>2006</v>
      </c>
      <c r="AM590" s="32" t="s">
        <v>1057</v>
      </c>
      <c r="AN590" s="32" t="s">
        <v>1058</v>
      </c>
      <c r="AP590" s="35" t="s">
        <v>396</v>
      </c>
    </row>
    <row r="591" spans="1:42" x14ac:dyDescent="0.2">
      <c r="A591" s="40">
        <v>62</v>
      </c>
      <c r="B591" s="40">
        <v>590</v>
      </c>
      <c r="C591" s="40" t="s">
        <v>39</v>
      </c>
      <c r="D591" s="38" t="s">
        <v>26</v>
      </c>
      <c r="E591" s="32" t="s">
        <v>2186</v>
      </c>
      <c r="F591" s="32" t="s">
        <v>21</v>
      </c>
      <c r="G591" s="38" t="s">
        <v>163</v>
      </c>
      <c r="H591" s="32" t="s">
        <v>151</v>
      </c>
      <c r="I591" s="32" t="s">
        <v>61</v>
      </c>
      <c r="J591" s="32" t="s">
        <v>1007</v>
      </c>
      <c r="K591" s="32" t="s">
        <v>129</v>
      </c>
      <c r="L591" s="32" t="s">
        <v>30</v>
      </c>
      <c r="M591" s="32" t="s">
        <v>30</v>
      </c>
      <c r="N591" s="40">
        <v>2005</v>
      </c>
      <c r="O591" s="32">
        <f>VLOOKUP(Data!N107, CPI!$A$2:$B$112, 2, 0)</f>
        <v>245.12</v>
      </c>
      <c r="P591" s="32" t="s">
        <v>238</v>
      </c>
      <c r="Q591" s="32" t="s">
        <v>239</v>
      </c>
      <c r="R591" s="32" t="s">
        <v>1052</v>
      </c>
      <c r="S591" s="32">
        <v>2497</v>
      </c>
      <c r="T591" s="32" t="s">
        <v>307</v>
      </c>
      <c r="U591" s="32">
        <f t="shared" si="36"/>
        <v>55.011598224195339</v>
      </c>
      <c r="V591" s="32" t="s">
        <v>2211</v>
      </c>
      <c r="W591" s="32">
        <f>VLOOKUP(N591, 'Exchange rate-Kenya'!$A$3:$B$65, 2, 0)</f>
        <v>75.554109451431103</v>
      </c>
      <c r="X591" s="32">
        <f t="shared" si="37"/>
        <v>0.72810861809652816</v>
      </c>
      <c r="Y591" s="32">
        <f>(CPI!$B$112/O591)*X591</f>
        <v>0.90501700150392206</v>
      </c>
      <c r="Z591" s="38" t="s">
        <v>303</v>
      </c>
      <c r="AA591" s="35" t="s">
        <v>1412</v>
      </c>
      <c r="AB591" s="32">
        <v>90100</v>
      </c>
      <c r="AC591" s="43" t="s">
        <v>2266</v>
      </c>
      <c r="AE591" s="32">
        <v>1985</v>
      </c>
      <c r="AF591" s="59" t="s">
        <v>2418</v>
      </c>
      <c r="AG591" s="59"/>
      <c r="AH591" s="59" t="s">
        <v>411</v>
      </c>
      <c r="AI591" s="32" t="s">
        <v>2423</v>
      </c>
      <c r="AJ591" s="36" t="s">
        <v>2422</v>
      </c>
      <c r="AK591" s="40" t="s">
        <v>1056</v>
      </c>
      <c r="AL591" s="32">
        <v>2006</v>
      </c>
      <c r="AM591" s="32" t="s">
        <v>1057</v>
      </c>
      <c r="AN591" s="32" t="s">
        <v>1058</v>
      </c>
      <c r="AP591" s="35" t="s">
        <v>396</v>
      </c>
    </row>
    <row r="592" spans="1:42" x14ac:dyDescent="0.2">
      <c r="A592" s="40">
        <v>62</v>
      </c>
      <c r="B592" s="40">
        <v>591</v>
      </c>
      <c r="C592" s="40" t="s">
        <v>39</v>
      </c>
      <c r="D592" s="38" t="s">
        <v>26</v>
      </c>
      <c r="E592" s="32" t="s">
        <v>2186</v>
      </c>
      <c r="F592" s="32" t="s">
        <v>21</v>
      </c>
      <c r="G592" s="38" t="s">
        <v>163</v>
      </c>
      <c r="H592" s="32" t="s">
        <v>151</v>
      </c>
      <c r="I592" s="32" t="s">
        <v>61</v>
      </c>
      <c r="J592" s="32" t="s">
        <v>1007</v>
      </c>
      <c r="K592" s="32" t="s">
        <v>129</v>
      </c>
      <c r="L592" s="32" t="s">
        <v>30</v>
      </c>
      <c r="M592" s="32" t="s">
        <v>30</v>
      </c>
      <c r="N592" s="40">
        <v>2005</v>
      </c>
      <c r="O592" s="32">
        <f>VLOOKUP(Data!N108, CPI!$A$2:$B$112, 2, 0)</f>
        <v>245.12</v>
      </c>
      <c r="P592" s="32" t="s">
        <v>238</v>
      </c>
      <c r="Q592" s="32" t="s">
        <v>239</v>
      </c>
      <c r="R592" s="32" t="s">
        <v>1053</v>
      </c>
      <c r="S592" s="32">
        <v>7836</v>
      </c>
      <c r="T592" s="32" t="s">
        <v>307</v>
      </c>
      <c r="U592" s="32">
        <f t="shared" si="36"/>
        <v>172.63551609322974</v>
      </c>
      <c r="V592" s="32" t="s">
        <v>2211</v>
      </c>
      <c r="W592" s="32">
        <f>VLOOKUP(N592, 'Exchange rate-Kenya'!$A$3:$B$65, 2, 0)</f>
        <v>75.554109451431103</v>
      </c>
      <c r="X592" s="32">
        <f t="shared" si="37"/>
        <v>2.2849255632376431</v>
      </c>
      <c r="Y592" s="32">
        <f>(CPI!$B$112/O592)*X592</f>
        <v>2.8400934015958086</v>
      </c>
      <c r="Z592" s="38" t="s">
        <v>303</v>
      </c>
      <c r="AA592" s="35" t="s">
        <v>1412</v>
      </c>
      <c r="AB592" s="32">
        <v>90100</v>
      </c>
      <c r="AC592" s="43" t="s">
        <v>2266</v>
      </c>
      <c r="AE592" s="32">
        <v>1985</v>
      </c>
      <c r="AF592" s="59" t="s">
        <v>2419</v>
      </c>
      <c r="AG592" s="59"/>
      <c r="AH592" s="59" t="s">
        <v>411</v>
      </c>
      <c r="AI592" s="32" t="s">
        <v>2423</v>
      </c>
      <c r="AJ592" s="36" t="s">
        <v>2422</v>
      </c>
      <c r="AK592" s="40" t="s">
        <v>1056</v>
      </c>
      <c r="AL592" s="32">
        <v>2006</v>
      </c>
      <c r="AM592" s="32" t="s">
        <v>1057</v>
      </c>
      <c r="AN592" s="32" t="s">
        <v>1058</v>
      </c>
      <c r="AP592" s="35" t="s">
        <v>396</v>
      </c>
    </row>
    <row r="593" spans="1:42" x14ac:dyDescent="0.2">
      <c r="A593" s="40">
        <v>62</v>
      </c>
      <c r="B593" s="40">
        <v>592</v>
      </c>
      <c r="C593" s="40" t="s">
        <v>39</v>
      </c>
      <c r="D593" s="38" t="s">
        <v>26</v>
      </c>
      <c r="E593" s="32" t="s">
        <v>2186</v>
      </c>
      <c r="F593" s="32" t="s">
        <v>21</v>
      </c>
      <c r="G593" s="38" t="s">
        <v>163</v>
      </c>
      <c r="H593" s="32" t="s">
        <v>151</v>
      </c>
      <c r="I593" s="32" t="s">
        <v>61</v>
      </c>
      <c r="J593" s="32" t="s">
        <v>1007</v>
      </c>
      <c r="K593" s="32" t="s">
        <v>129</v>
      </c>
      <c r="L593" s="32" t="s">
        <v>30</v>
      </c>
      <c r="M593" s="32" t="s">
        <v>30</v>
      </c>
      <c r="N593" s="40">
        <v>2005</v>
      </c>
      <c r="O593" s="32">
        <f>VLOOKUP(Data!N109, CPI!$A$2:$B$112, 2, 0)</f>
        <v>245.12</v>
      </c>
      <c r="P593" s="32" t="s">
        <v>238</v>
      </c>
      <c r="Q593" s="32" t="s">
        <v>239</v>
      </c>
      <c r="R593" s="32" t="s">
        <v>1054</v>
      </c>
      <c r="S593" s="32">
        <v>2943</v>
      </c>
      <c r="T593" s="32" t="s">
        <v>307</v>
      </c>
      <c r="U593" s="32">
        <f t="shared" si="36"/>
        <v>64.837458379578251</v>
      </c>
      <c r="V593" s="32" t="s">
        <v>2211</v>
      </c>
      <c r="W593" s="32">
        <f>VLOOKUP(N593, 'Exchange rate-Kenya'!$A$3:$B$65, 2, 0)</f>
        <v>75.554109451431103</v>
      </c>
      <c r="X593" s="32">
        <f t="shared" si="37"/>
        <v>0.85815925633083001</v>
      </c>
      <c r="Y593" s="32">
        <f>(CPI!$B$112/O593)*X593</f>
        <v>1.0666660133864809</v>
      </c>
      <c r="Z593" s="38" t="s">
        <v>303</v>
      </c>
      <c r="AA593" s="35" t="s">
        <v>1412</v>
      </c>
      <c r="AB593" s="32">
        <v>90100</v>
      </c>
      <c r="AC593" s="43" t="s">
        <v>2266</v>
      </c>
      <c r="AE593" s="32">
        <v>1985</v>
      </c>
      <c r="AF593" s="59" t="s">
        <v>2420</v>
      </c>
      <c r="AG593" s="59"/>
      <c r="AH593" s="59" t="s">
        <v>411</v>
      </c>
      <c r="AI593" s="32" t="s">
        <v>2423</v>
      </c>
      <c r="AJ593" s="36" t="s">
        <v>2422</v>
      </c>
      <c r="AK593" s="40" t="s">
        <v>1056</v>
      </c>
      <c r="AL593" s="32">
        <v>2006</v>
      </c>
      <c r="AM593" s="32" t="s">
        <v>1057</v>
      </c>
      <c r="AN593" s="32" t="s">
        <v>1058</v>
      </c>
      <c r="AP593" s="35" t="s">
        <v>396</v>
      </c>
    </row>
    <row r="594" spans="1:42" x14ac:dyDescent="0.2">
      <c r="A594" s="40">
        <v>62</v>
      </c>
      <c r="B594" s="40">
        <v>593</v>
      </c>
      <c r="C594" s="40" t="s">
        <v>39</v>
      </c>
      <c r="D594" s="38" t="s">
        <v>26</v>
      </c>
      <c r="E594" s="32" t="s">
        <v>2186</v>
      </c>
      <c r="F594" s="32" t="s">
        <v>21</v>
      </c>
      <c r="G594" s="38" t="s">
        <v>163</v>
      </c>
      <c r="H594" s="32" t="s">
        <v>151</v>
      </c>
      <c r="I594" s="32" t="s">
        <v>61</v>
      </c>
      <c r="J594" s="32" t="s">
        <v>1007</v>
      </c>
      <c r="K594" s="32" t="s">
        <v>129</v>
      </c>
      <c r="L594" s="32" t="s">
        <v>30</v>
      </c>
      <c r="M594" s="32" t="s">
        <v>30</v>
      </c>
      <c r="N594" s="40">
        <v>2005</v>
      </c>
      <c r="O594" s="32">
        <f>VLOOKUP(Data!N110, CPI!$A$2:$B$112, 2, 0)</f>
        <v>237.017</v>
      </c>
      <c r="P594" s="32" t="s">
        <v>238</v>
      </c>
      <c r="Q594" s="32" t="s">
        <v>239</v>
      </c>
      <c r="R594" s="32" t="s">
        <v>1055</v>
      </c>
      <c r="S594" s="32">
        <v>1591</v>
      </c>
      <c r="T594" s="32" t="s">
        <v>307</v>
      </c>
      <c r="U594" s="32">
        <f t="shared" si="36"/>
        <v>35.051442841287461</v>
      </c>
      <c r="V594" s="32" t="s">
        <v>2211</v>
      </c>
      <c r="W594" s="32">
        <f>VLOOKUP(N594, 'Exchange rate-Kenya'!$A$3:$B$65, 2, 0)</f>
        <v>75.554109451431103</v>
      </c>
      <c r="X594" s="32">
        <f t="shared" si="37"/>
        <v>0.46392503459814832</v>
      </c>
      <c r="Y594" s="32">
        <f>(CPI!$B$112/O594)*X594</f>
        <v>0.59635879192210428</v>
      </c>
      <c r="Z594" s="38" t="s">
        <v>303</v>
      </c>
      <c r="AA594" s="35" t="s">
        <v>1412</v>
      </c>
      <c r="AB594" s="32">
        <v>90100</v>
      </c>
      <c r="AC594" s="43" t="s">
        <v>2266</v>
      </c>
      <c r="AE594" s="32">
        <v>1985</v>
      </c>
      <c r="AF594" s="59" t="s">
        <v>2421</v>
      </c>
      <c r="AG594" s="59"/>
      <c r="AH594" s="59" t="s">
        <v>411</v>
      </c>
      <c r="AI594" s="32" t="s">
        <v>2423</v>
      </c>
      <c r="AJ594" s="36" t="s">
        <v>2422</v>
      </c>
      <c r="AK594" s="40" t="s">
        <v>1056</v>
      </c>
      <c r="AL594" s="32">
        <v>2006</v>
      </c>
      <c r="AM594" s="32" t="s">
        <v>1057</v>
      </c>
      <c r="AN594" s="32" t="s">
        <v>1058</v>
      </c>
      <c r="AP594" s="35" t="s">
        <v>396</v>
      </c>
    </row>
    <row r="595" spans="1:42" x14ac:dyDescent="0.2">
      <c r="A595" s="40">
        <v>62</v>
      </c>
      <c r="B595" s="40">
        <v>594</v>
      </c>
      <c r="C595" s="40" t="s">
        <v>39</v>
      </c>
      <c r="D595" s="38" t="s">
        <v>26</v>
      </c>
      <c r="E595" s="32" t="s">
        <v>2186</v>
      </c>
      <c r="F595" s="32" t="s">
        <v>21</v>
      </c>
      <c r="G595" s="38" t="s">
        <v>163</v>
      </c>
      <c r="H595" s="32" t="s">
        <v>151</v>
      </c>
      <c r="I595" s="32" t="s">
        <v>61</v>
      </c>
      <c r="J595" s="32" t="s">
        <v>1007</v>
      </c>
      <c r="K595" s="32" t="s">
        <v>129</v>
      </c>
      <c r="L595" s="32" t="s">
        <v>30</v>
      </c>
      <c r="M595" s="32" t="s">
        <v>30</v>
      </c>
      <c r="N595" s="40">
        <v>2005</v>
      </c>
      <c r="O595" s="32">
        <f>VLOOKUP(Data!N1402, CPI!$A$2:$B$112, 2, 0)</f>
        <v>207.3</v>
      </c>
      <c r="P595" s="32" t="s">
        <v>238</v>
      </c>
      <c r="Q595" s="32" t="s">
        <v>239</v>
      </c>
      <c r="R595" s="32" t="s">
        <v>1008</v>
      </c>
      <c r="S595" s="32">
        <v>19659</v>
      </c>
      <c r="T595" s="32" t="s">
        <v>1028</v>
      </c>
      <c r="Z595" s="38" t="s">
        <v>303</v>
      </c>
      <c r="AA595" s="35" t="s">
        <v>1464</v>
      </c>
      <c r="AB595" s="32">
        <v>90100</v>
      </c>
      <c r="AC595" s="43" t="s">
        <v>2266</v>
      </c>
      <c r="AH595" s="32" t="s">
        <v>397</v>
      </c>
      <c r="AI595" s="32" t="s">
        <v>2268</v>
      </c>
      <c r="AK595" s="40" t="s">
        <v>1056</v>
      </c>
      <c r="AL595" s="32">
        <v>2006</v>
      </c>
      <c r="AM595" s="32" t="s">
        <v>1057</v>
      </c>
      <c r="AN595" s="32" t="s">
        <v>1058</v>
      </c>
      <c r="AP595" s="35" t="s">
        <v>396</v>
      </c>
    </row>
    <row r="596" spans="1:42" x14ac:dyDescent="0.2">
      <c r="A596" s="40">
        <v>62</v>
      </c>
      <c r="B596" s="40">
        <v>595</v>
      </c>
      <c r="C596" s="40" t="s">
        <v>39</v>
      </c>
      <c r="D596" s="38" t="s">
        <v>26</v>
      </c>
      <c r="E596" s="32" t="s">
        <v>2186</v>
      </c>
      <c r="F596" s="32" t="s">
        <v>21</v>
      </c>
      <c r="G596" s="38" t="s">
        <v>163</v>
      </c>
      <c r="H596" s="32" t="s">
        <v>151</v>
      </c>
      <c r="I596" s="32" t="s">
        <v>61</v>
      </c>
      <c r="J596" s="32" t="s">
        <v>1007</v>
      </c>
      <c r="K596" s="32" t="s">
        <v>129</v>
      </c>
      <c r="L596" s="32" t="s">
        <v>30</v>
      </c>
      <c r="M596" s="32" t="s">
        <v>30</v>
      </c>
      <c r="N596" s="40">
        <v>2005</v>
      </c>
      <c r="O596" s="32">
        <f>VLOOKUP(Data!N1403, CPI!$A$2:$B$112, 2, 0)</f>
        <v>207.3</v>
      </c>
      <c r="P596" s="32" t="s">
        <v>238</v>
      </c>
      <c r="Q596" s="32" t="s">
        <v>239</v>
      </c>
      <c r="R596" s="32" t="s">
        <v>1009</v>
      </c>
      <c r="T596" s="32" t="s">
        <v>1028</v>
      </c>
      <c r="Z596" s="38" t="s">
        <v>303</v>
      </c>
      <c r="AA596" s="35" t="s">
        <v>1464</v>
      </c>
      <c r="AB596" s="32">
        <v>90100</v>
      </c>
      <c r="AC596" s="43" t="s">
        <v>2266</v>
      </c>
      <c r="AH596" s="32" t="s">
        <v>397</v>
      </c>
      <c r="AI596" s="32" t="s">
        <v>2268</v>
      </c>
      <c r="AK596" s="40" t="s">
        <v>1056</v>
      </c>
      <c r="AL596" s="32">
        <v>2006</v>
      </c>
      <c r="AM596" s="32" t="s">
        <v>1057</v>
      </c>
      <c r="AN596" s="32" t="s">
        <v>1058</v>
      </c>
      <c r="AP596" s="35" t="s">
        <v>396</v>
      </c>
    </row>
    <row r="597" spans="1:42" x14ac:dyDescent="0.2">
      <c r="A597" s="40">
        <v>62</v>
      </c>
      <c r="B597" s="40">
        <v>596</v>
      </c>
      <c r="C597" s="40" t="s">
        <v>39</v>
      </c>
      <c r="D597" s="38" t="s">
        <v>26</v>
      </c>
      <c r="E597" s="32" t="s">
        <v>2186</v>
      </c>
      <c r="F597" s="32" t="s">
        <v>21</v>
      </c>
      <c r="G597" s="38" t="s">
        <v>163</v>
      </c>
      <c r="H597" s="32" t="s">
        <v>151</v>
      </c>
      <c r="I597" s="32" t="s">
        <v>61</v>
      </c>
      <c r="J597" s="32" t="s">
        <v>1007</v>
      </c>
      <c r="K597" s="32" t="s">
        <v>129</v>
      </c>
      <c r="L597" s="32" t="s">
        <v>30</v>
      </c>
      <c r="M597" s="32" t="s">
        <v>30</v>
      </c>
      <c r="N597" s="40">
        <v>2005</v>
      </c>
      <c r="O597" s="32">
        <f>VLOOKUP(Data!N1404, CPI!$A$2:$B$112, 2, 0)</f>
        <v>207.3</v>
      </c>
      <c r="P597" s="32" t="s">
        <v>238</v>
      </c>
      <c r="Q597" s="32" t="s">
        <v>239</v>
      </c>
      <c r="R597" s="32" t="s">
        <v>1010</v>
      </c>
      <c r="T597" s="32" t="s">
        <v>1028</v>
      </c>
      <c r="Z597" s="38" t="s">
        <v>303</v>
      </c>
      <c r="AA597" s="35" t="s">
        <v>1464</v>
      </c>
      <c r="AB597" s="32">
        <v>90100</v>
      </c>
      <c r="AC597" s="43" t="s">
        <v>2266</v>
      </c>
      <c r="AH597" s="32" t="s">
        <v>397</v>
      </c>
      <c r="AI597" s="32" t="s">
        <v>2268</v>
      </c>
      <c r="AK597" s="40" t="s">
        <v>1056</v>
      </c>
      <c r="AL597" s="32">
        <v>2006</v>
      </c>
      <c r="AM597" s="32" t="s">
        <v>1057</v>
      </c>
      <c r="AN597" s="32" t="s">
        <v>1058</v>
      </c>
      <c r="AP597" s="35" t="s">
        <v>396</v>
      </c>
    </row>
    <row r="598" spans="1:42" x14ac:dyDescent="0.2">
      <c r="A598" s="40">
        <v>62</v>
      </c>
      <c r="B598" s="40">
        <v>597</v>
      </c>
      <c r="C598" s="40" t="s">
        <v>39</v>
      </c>
      <c r="D598" s="38" t="s">
        <v>26</v>
      </c>
      <c r="E598" s="32" t="s">
        <v>2186</v>
      </c>
      <c r="F598" s="32" t="s">
        <v>21</v>
      </c>
      <c r="G598" s="38" t="s">
        <v>163</v>
      </c>
      <c r="H598" s="32" t="s">
        <v>151</v>
      </c>
      <c r="I598" s="32" t="s">
        <v>61</v>
      </c>
      <c r="J598" s="32" t="s">
        <v>1007</v>
      </c>
      <c r="K598" s="32" t="s">
        <v>129</v>
      </c>
      <c r="L598" s="32" t="s">
        <v>30</v>
      </c>
      <c r="M598" s="32" t="s">
        <v>30</v>
      </c>
      <c r="N598" s="40">
        <v>2005</v>
      </c>
      <c r="O598" s="32">
        <f>VLOOKUP(Data!N1405, CPI!$A$2:$B$112, 2, 0)</f>
        <v>207.3</v>
      </c>
      <c r="P598" s="32" t="s">
        <v>238</v>
      </c>
      <c r="Q598" s="32" t="s">
        <v>239</v>
      </c>
      <c r="R598" s="32" t="s">
        <v>1011</v>
      </c>
      <c r="S598" s="32">
        <v>11250</v>
      </c>
      <c r="T598" s="32" t="s">
        <v>1028</v>
      </c>
      <c r="Z598" s="38" t="s">
        <v>303</v>
      </c>
      <c r="AA598" s="35" t="s">
        <v>1464</v>
      </c>
      <c r="AB598" s="32">
        <v>90100</v>
      </c>
      <c r="AC598" s="43" t="s">
        <v>2266</v>
      </c>
      <c r="AH598" s="32" t="s">
        <v>397</v>
      </c>
      <c r="AI598" s="32" t="s">
        <v>2268</v>
      </c>
      <c r="AK598" s="40" t="s">
        <v>1056</v>
      </c>
      <c r="AL598" s="32">
        <v>2006</v>
      </c>
      <c r="AM598" s="32" t="s">
        <v>1057</v>
      </c>
      <c r="AN598" s="32" t="s">
        <v>1058</v>
      </c>
      <c r="AP598" s="35" t="s">
        <v>396</v>
      </c>
    </row>
    <row r="599" spans="1:42" x14ac:dyDescent="0.2">
      <c r="A599" s="40">
        <v>62</v>
      </c>
      <c r="B599" s="40">
        <v>598</v>
      </c>
      <c r="C599" s="40" t="s">
        <v>39</v>
      </c>
      <c r="D599" s="38" t="s">
        <v>26</v>
      </c>
      <c r="E599" s="32" t="s">
        <v>2186</v>
      </c>
      <c r="F599" s="32" t="s">
        <v>21</v>
      </c>
      <c r="G599" s="38" t="s">
        <v>163</v>
      </c>
      <c r="H599" s="32" t="s">
        <v>151</v>
      </c>
      <c r="I599" s="32" t="s">
        <v>61</v>
      </c>
      <c r="J599" s="32" t="s">
        <v>1007</v>
      </c>
      <c r="K599" s="32" t="s">
        <v>129</v>
      </c>
      <c r="L599" s="32" t="s">
        <v>30</v>
      </c>
      <c r="M599" s="32" t="s">
        <v>30</v>
      </c>
      <c r="N599" s="40">
        <v>2005</v>
      </c>
      <c r="O599" s="32">
        <f>VLOOKUP(Data!N1406, CPI!$A$2:$B$112, 2, 0)</f>
        <v>207.3</v>
      </c>
      <c r="P599" s="32" t="s">
        <v>238</v>
      </c>
      <c r="Q599" s="32" t="s">
        <v>239</v>
      </c>
      <c r="R599" s="32" t="s">
        <v>1012</v>
      </c>
      <c r="T599" s="32" t="s">
        <v>1028</v>
      </c>
      <c r="Z599" s="38" t="s">
        <v>303</v>
      </c>
      <c r="AA599" s="35" t="s">
        <v>1464</v>
      </c>
      <c r="AB599" s="32">
        <v>90100</v>
      </c>
      <c r="AC599" s="43" t="s">
        <v>2266</v>
      </c>
      <c r="AH599" s="32" t="s">
        <v>397</v>
      </c>
      <c r="AI599" s="32" t="s">
        <v>2268</v>
      </c>
      <c r="AK599" s="40" t="s">
        <v>1056</v>
      </c>
      <c r="AL599" s="32">
        <v>2006</v>
      </c>
      <c r="AM599" s="32" t="s">
        <v>1057</v>
      </c>
      <c r="AN599" s="32" t="s">
        <v>1058</v>
      </c>
      <c r="AP599" s="35" t="s">
        <v>396</v>
      </c>
    </row>
    <row r="600" spans="1:42" x14ac:dyDescent="0.2">
      <c r="A600" s="40">
        <v>62</v>
      </c>
      <c r="B600" s="40">
        <v>599</v>
      </c>
      <c r="C600" s="40" t="s">
        <v>39</v>
      </c>
      <c r="D600" s="38" t="s">
        <v>26</v>
      </c>
      <c r="E600" s="32" t="s">
        <v>2186</v>
      </c>
      <c r="F600" s="32" t="s">
        <v>21</v>
      </c>
      <c r="G600" s="38" t="s">
        <v>163</v>
      </c>
      <c r="H600" s="32" t="s">
        <v>151</v>
      </c>
      <c r="I600" s="32" t="s">
        <v>61</v>
      </c>
      <c r="J600" s="32" t="s">
        <v>1007</v>
      </c>
      <c r="K600" s="32" t="s">
        <v>129</v>
      </c>
      <c r="L600" s="32" t="s">
        <v>30</v>
      </c>
      <c r="M600" s="32" t="s">
        <v>30</v>
      </c>
      <c r="N600" s="40">
        <v>2005</v>
      </c>
      <c r="O600" s="32">
        <f>VLOOKUP(Data!N1407, CPI!$A$2:$B$112, 2, 0)</f>
        <v>207.3</v>
      </c>
      <c r="P600" s="32" t="s">
        <v>238</v>
      </c>
      <c r="Q600" s="32" t="s">
        <v>239</v>
      </c>
      <c r="R600" s="32" t="s">
        <v>1013</v>
      </c>
      <c r="T600" s="32" t="s">
        <v>1028</v>
      </c>
      <c r="Z600" s="38" t="s">
        <v>303</v>
      </c>
      <c r="AA600" s="35" t="s">
        <v>1464</v>
      </c>
      <c r="AB600" s="32">
        <v>90100</v>
      </c>
      <c r="AC600" s="43" t="s">
        <v>2266</v>
      </c>
      <c r="AH600" s="32" t="s">
        <v>397</v>
      </c>
      <c r="AI600" s="32" t="s">
        <v>2268</v>
      </c>
      <c r="AK600" s="40" t="s">
        <v>1056</v>
      </c>
      <c r="AL600" s="32">
        <v>2006</v>
      </c>
      <c r="AM600" s="32" t="s">
        <v>1057</v>
      </c>
      <c r="AN600" s="32" t="s">
        <v>1058</v>
      </c>
      <c r="AP600" s="35" t="s">
        <v>396</v>
      </c>
    </row>
    <row r="601" spans="1:42" x14ac:dyDescent="0.2">
      <c r="A601" s="40">
        <v>62</v>
      </c>
      <c r="B601" s="40">
        <v>600</v>
      </c>
      <c r="C601" s="40" t="s">
        <v>39</v>
      </c>
      <c r="D601" s="38" t="s">
        <v>26</v>
      </c>
      <c r="E601" s="32" t="s">
        <v>2186</v>
      </c>
      <c r="F601" s="32" t="s">
        <v>21</v>
      </c>
      <c r="G601" s="38" t="s">
        <v>163</v>
      </c>
      <c r="H601" s="32" t="s">
        <v>151</v>
      </c>
      <c r="I601" s="32" t="s">
        <v>61</v>
      </c>
      <c r="J601" s="32" t="s">
        <v>1007</v>
      </c>
      <c r="K601" s="32" t="s">
        <v>129</v>
      </c>
      <c r="L601" s="32" t="s">
        <v>30</v>
      </c>
      <c r="M601" s="32" t="s">
        <v>30</v>
      </c>
      <c r="N601" s="40">
        <v>2005</v>
      </c>
      <c r="O601" s="32">
        <f>VLOOKUP(Data!N1408, CPI!$A$2:$B$112, 2, 0)</f>
        <v>207.3</v>
      </c>
      <c r="P601" s="32" t="s">
        <v>238</v>
      </c>
      <c r="Q601" s="32" t="s">
        <v>239</v>
      </c>
      <c r="R601" s="32" t="s">
        <v>1014</v>
      </c>
      <c r="S601" s="32">
        <v>23787</v>
      </c>
      <c r="T601" s="32" t="s">
        <v>1028</v>
      </c>
      <c r="Z601" s="38" t="s">
        <v>303</v>
      </c>
      <c r="AA601" s="35" t="s">
        <v>1464</v>
      </c>
      <c r="AB601" s="32">
        <v>90100</v>
      </c>
      <c r="AC601" s="43" t="s">
        <v>2266</v>
      </c>
      <c r="AH601" s="32" t="s">
        <v>397</v>
      </c>
      <c r="AI601" s="32" t="s">
        <v>2268</v>
      </c>
      <c r="AK601" s="40" t="s">
        <v>1056</v>
      </c>
      <c r="AL601" s="32">
        <v>2006</v>
      </c>
      <c r="AM601" s="32" t="s">
        <v>1057</v>
      </c>
      <c r="AN601" s="32" t="s">
        <v>1058</v>
      </c>
      <c r="AP601" s="35" t="s">
        <v>396</v>
      </c>
    </row>
    <row r="602" spans="1:42" x14ac:dyDescent="0.2">
      <c r="A602" s="40">
        <v>62</v>
      </c>
      <c r="B602" s="40">
        <v>601</v>
      </c>
      <c r="C602" s="40" t="s">
        <v>39</v>
      </c>
      <c r="D602" s="38" t="s">
        <v>26</v>
      </c>
      <c r="E602" s="32" t="s">
        <v>2186</v>
      </c>
      <c r="F602" s="32" t="s">
        <v>21</v>
      </c>
      <c r="G602" s="38" t="s">
        <v>163</v>
      </c>
      <c r="H602" s="32" t="s">
        <v>151</v>
      </c>
      <c r="I602" s="32" t="s">
        <v>61</v>
      </c>
      <c r="J602" s="32" t="s">
        <v>1007</v>
      </c>
      <c r="K602" s="32" t="s">
        <v>129</v>
      </c>
      <c r="L602" s="32" t="s">
        <v>30</v>
      </c>
      <c r="M602" s="32" t="s">
        <v>30</v>
      </c>
      <c r="N602" s="40">
        <v>2005</v>
      </c>
      <c r="O602" s="32">
        <f>VLOOKUP(Data!N1409, CPI!$A$2:$B$112, 2, 0)</f>
        <v>207.3</v>
      </c>
      <c r="P602" s="32" t="s">
        <v>238</v>
      </c>
      <c r="Q602" s="32" t="s">
        <v>239</v>
      </c>
      <c r="R602" s="32" t="s">
        <v>1015</v>
      </c>
      <c r="S602" s="32">
        <v>8600</v>
      </c>
      <c r="T602" s="32" t="s">
        <v>1028</v>
      </c>
      <c r="Z602" s="38" t="s">
        <v>303</v>
      </c>
      <c r="AA602" s="35" t="s">
        <v>1464</v>
      </c>
      <c r="AB602" s="32">
        <v>90100</v>
      </c>
      <c r="AC602" s="43" t="s">
        <v>2266</v>
      </c>
      <c r="AH602" s="32" t="s">
        <v>397</v>
      </c>
      <c r="AI602" s="32" t="s">
        <v>2268</v>
      </c>
      <c r="AK602" s="40" t="s">
        <v>1056</v>
      </c>
      <c r="AL602" s="32">
        <v>2006</v>
      </c>
      <c r="AM602" s="32" t="s">
        <v>1057</v>
      </c>
      <c r="AN602" s="32" t="s">
        <v>1058</v>
      </c>
      <c r="AP602" s="35" t="s">
        <v>396</v>
      </c>
    </row>
    <row r="603" spans="1:42" x14ac:dyDescent="0.2">
      <c r="A603" s="40">
        <v>62</v>
      </c>
      <c r="B603" s="40">
        <v>602</v>
      </c>
      <c r="C603" s="40" t="s">
        <v>39</v>
      </c>
      <c r="D603" s="38" t="s">
        <v>26</v>
      </c>
      <c r="E603" s="32" t="s">
        <v>2186</v>
      </c>
      <c r="F603" s="32" t="s">
        <v>21</v>
      </c>
      <c r="G603" s="38" t="s">
        <v>163</v>
      </c>
      <c r="H603" s="32" t="s">
        <v>151</v>
      </c>
      <c r="I603" s="32" t="s">
        <v>61</v>
      </c>
      <c r="J603" s="32" t="s">
        <v>1007</v>
      </c>
      <c r="K603" s="32" t="s">
        <v>129</v>
      </c>
      <c r="L603" s="32" t="s">
        <v>30</v>
      </c>
      <c r="M603" s="32" t="s">
        <v>30</v>
      </c>
      <c r="N603" s="40">
        <v>2005</v>
      </c>
      <c r="O603" s="32">
        <f>VLOOKUP(Data!N1410, CPI!$A$2:$B$112, 2, 0)</f>
        <v>207.3</v>
      </c>
      <c r="P603" s="32" t="s">
        <v>238</v>
      </c>
      <c r="Q603" s="32" t="s">
        <v>239</v>
      </c>
      <c r="R603" s="32" t="s">
        <v>1016</v>
      </c>
      <c r="S603" s="32">
        <v>4333</v>
      </c>
      <c r="T603" s="32" t="s">
        <v>1028</v>
      </c>
      <c r="Z603" s="38" t="s">
        <v>303</v>
      </c>
      <c r="AA603" s="35" t="s">
        <v>1464</v>
      </c>
      <c r="AB603" s="32">
        <v>90100</v>
      </c>
      <c r="AC603" s="43" t="s">
        <v>2266</v>
      </c>
      <c r="AH603" s="32" t="s">
        <v>397</v>
      </c>
      <c r="AI603" s="32" t="s">
        <v>2268</v>
      </c>
      <c r="AK603" s="40" t="s">
        <v>1056</v>
      </c>
      <c r="AL603" s="32">
        <v>2006</v>
      </c>
      <c r="AM603" s="32" t="s">
        <v>1057</v>
      </c>
      <c r="AN603" s="32" t="s">
        <v>1058</v>
      </c>
      <c r="AP603" s="35" t="s">
        <v>396</v>
      </c>
    </row>
    <row r="604" spans="1:42" x14ac:dyDescent="0.2">
      <c r="A604" s="40">
        <v>62</v>
      </c>
      <c r="B604" s="40">
        <v>603</v>
      </c>
      <c r="C604" s="40" t="s">
        <v>39</v>
      </c>
      <c r="D604" s="38" t="s">
        <v>26</v>
      </c>
      <c r="E604" s="32" t="s">
        <v>2186</v>
      </c>
      <c r="F604" s="32" t="s">
        <v>21</v>
      </c>
      <c r="G604" s="38" t="s">
        <v>163</v>
      </c>
      <c r="H604" s="32" t="s">
        <v>151</v>
      </c>
      <c r="I604" s="32" t="s">
        <v>61</v>
      </c>
      <c r="J604" s="32" t="s">
        <v>1007</v>
      </c>
      <c r="K604" s="32" t="s">
        <v>129</v>
      </c>
      <c r="L604" s="32" t="s">
        <v>30</v>
      </c>
      <c r="M604" s="32" t="s">
        <v>30</v>
      </c>
      <c r="N604" s="40">
        <v>2005</v>
      </c>
      <c r="O604" s="32">
        <f>VLOOKUP(Data!N1411, CPI!$A$2:$B$112, 2, 0)</f>
        <v>207.3</v>
      </c>
      <c r="P604" s="32" t="s">
        <v>238</v>
      </c>
      <c r="Q604" s="32" t="s">
        <v>239</v>
      </c>
      <c r="R604" s="32" t="s">
        <v>1017</v>
      </c>
      <c r="T604" s="32" t="s">
        <v>1028</v>
      </c>
      <c r="Z604" s="38" t="s">
        <v>303</v>
      </c>
      <c r="AA604" s="35" t="s">
        <v>1464</v>
      </c>
      <c r="AB604" s="32">
        <v>90100</v>
      </c>
      <c r="AC604" s="43" t="s">
        <v>2266</v>
      </c>
      <c r="AH604" s="32" t="s">
        <v>397</v>
      </c>
      <c r="AI604" s="32" t="s">
        <v>2268</v>
      </c>
      <c r="AK604" s="40" t="s">
        <v>1056</v>
      </c>
      <c r="AL604" s="32">
        <v>2006</v>
      </c>
      <c r="AM604" s="32" t="s">
        <v>1057</v>
      </c>
      <c r="AN604" s="32" t="s">
        <v>1058</v>
      </c>
      <c r="AP604" s="35" t="s">
        <v>396</v>
      </c>
    </row>
    <row r="605" spans="1:42" x14ac:dyDescent="0.2">
      <c r="A605" s="40">
        <v>62</v>
      </c>
      <c r="B605" s="40">
        <v>604</v>
      </c>
      <c r="C605" s="40" t="s">
        <v>39</v>
      </c>
      <c r="D605" s="38" t="s">
        <v>26</v>
      </c>
      <c r="E605" s="32" t="s">
        <v>2186</v>
      </c>
      <c r="F605" s="32" t="s">
        <v>21</v>
      </c>
      <c r="G605" s="38" t="s">
        <v>163</v>
      </c>
      <c r="H605" s="32" t="s">
        <v>151</v>
      </c>
      <c r="I605" s="32" t="s">
        <v>61</v>
      </c>
      <c r="J605" s="32" t="s">
        <v>1007</v>
      </c>
      <c r="K605" s="32" t="s">
        <v>129</v>
      </c>
      <c r="L605" s="32" t="s">
        <v>30</v>
      </c>
      <c r="M605" s="32" t="s">
        <v>30</v>
      </c>
      <c r="N605" s="40">
        <v>2005</v>
      </c>
      <c r="O605" s="32">
        <f>VLOOKUP(Data!N1412, CPI!$A$2:$B$112, 2, 0)</f>
        <v>207.3</v>
      </c>
      <c r="P605" s="32" t="s">
        <v>238</v>
      </c>
      <c r="Q605" s="32" t="s">
        <v>239</v>
      </c>
      <c r="R605" s="32" t="s">
        <v>1018</v>
      </c>
      <c r="S605" s="32">
        <v>10500</v>
      </c>
      <c r="T605" s="32" t="s">
        <v>1028</v>
      </c>
      <c r="Z605" s="38" t="s">
        <v>303</v>
      </c>
      <c r="AA605" s="35" t="s">
        <v>1464</v>
      </c>
      <c r="AB605" s="32">
        <v>90100</v>
      </c>
      <c r="AC605" s="43" t="s">
        <v>2266</v>
      </c>
      <c r="AH605" s="32" t="s">
        <v>397</v>
      </c>
      <c r="AI605" s="32" t="s">
        <v>2268</v>
      </c>
      <c r="AK605" s="40" t="s">
        <v>1056</v>
      </c>
      <c r="AL605" s="32">
        <v>2006</v>
      </c>
      <c r="AM605" s="32" t="s">
        <v>1057</v>
      </c>
      <c r="AN605" s="32" t="s">
        <v>1058</v>
      </c>
      <c r="AP605" s="35" t="s">
        <v>396</v>
      </c>
    </row>
    <row r="606" spans="1:42" x14ac:dyDescent="0.2">
      <c r="A606" s="40">
        <v>62</v>
      </c>
      <c r="B606" s="40">
        <v>605</v>
      </c>
      <c r="C606" s="40" t="s">
        <v>39</v>
      </c>
      <c r="D606" s="38" t="s">
        <v>26</v>
      </c>
      <c r="E606" s="32" t="s">
        <v>2186</v>
      </c>
      <c r="F606" s="32" t="s">
        <v>21</v>
      </c>
      <c r="G606" s="38" t="s">
        <v>163</v>
      </c>
      <c r="H606" s="32" t="s">
        <v>151</v>
      </c>
      <c r="I606" s="32" t="s">
        <v>61</v>
      </c>
      <c r="J606" s="32" t="s">
        <v>1007</v>
      </c>
      <c r="K606" s="32" t="s">
        <v>129</v>
      </c>
      <c r="L606" s="32" t="s">
        <v>30</v>
      </c>
      <c r="M606" s="32" t="s">
        <v>30</v>
      </c>
      <c r="N606" s="40">
        <v>2005</v>
      </c>
      <c r="O606" s="32">
        <f>VLOOKUP(Data!N1413, CPI!$A$2:$B$112, 2, 0)</f>
        <v>245.12</v>
      </c>
      <c r="P606" s="32" t="s">
        <v>238</v>
      </c>
      <c r="Q606" s="32" t="s">
        <v>239</v>
      </c>
      <c r="R606" s="32" t="s">
        <v>1019</v>
      </c>
      <c r="S606" s="32">
        <v>1086</v>
      </c>
      <c r="T606" s="32" t="s">
        <v>1028</v>
      </c>
      <c r="Z606" s="38" t="s">
        <v>303</v>
      </c>
      <c r="AA606" s="35" t="s">
        <v>1464</v>
      </c>
      <c r="AB606" s="32">
        <v>90100</v>
      </c>
      <c r="AC606" s="43" t="s">
        <v>2266</v>
      </c>
      <c r="AH606" s="32" t="s">
        <v>397</v>
      </c>
      <c r="AI606" s="32" t="s">
        <v>2268</v>
      </c>
      <c r="AK606" s="40" t="s">
        <v>1056</v>
      </c>
      <c r="AL606" s="32">
        <v>2006</v>
      </c>
      <c r="AM606" s="32" t="s">
        <v>1057</v>
      </c>
      <c r="AN606" s="32" t="s">
        <v>1058</v>
      </c>
      <c r="AP606" s="35" t="s">
        <v>396</v>
      </c>
    </row>
    <row r="607" spans="1:42" x14ac:dyDescent="0.2">
      <c r="A607" s="40">
        <v>62</v>
      </c>
      <c r="B607" s="40">
        <v>606</v>
      </c>
      <c r="C607" s="40" t="s">
        <v>39</v>
      </c>
      <c r="D607" s="38" t="s">
        <v>26</v>
      </c>
      <c r="E607" s="32" t="s">
        <v>2186</v>
      </c>
      <c r="F607" s="32" t="s">
        <v>21</v>
      </c>
      <c r="G607" s="38" t="s">
        <v>163</v>
      </c>
      <c r="H607" s="32" t="s">
        <v>151</v>
      </c>
      <c r="I607" s="32" t="s">
        <v>61</v>
      </c>
      <c r="J607" s="32" t="s">
        <v>1007</v>
      </c>
      <c r="K607" s="32" t="s">
        <v>129</v>
      </c>
      <c r="L607" s="32" t="s">
        <v>30</v>
      </c>
      <c r="M607" s="32" t="s">
        <v>30</v>
      </c>
      <c r="N607" s="40">
        <v>2005</v>
      </c>
      <c r="O607" s="32">
        <f>VLOOKUP(Data!N1414, CPI!$A$2:$B$112, 2, 0)</f>
        <v>245.12</v>
      </c>
      <c r="P607" s="32" t="s">
        <v>238</v>
      </c>
      <c r="Q607" s="32" t="s">
        <v>239</v>
      </c>
      <c r="R607" s="32" t="s">
        <v>1020</v>
      </c>
      <c r="S607" s="32">
        <v>29267</v>
      </c>
      <c r="T607" s="32" t="s">
        <v>1028</v>
      </c>
      <c r="Z607" s="38" t="s">
        <v>303</v>
      </c>
      <c r="AA607" s="35" t="s">
        <v>1464</v>
      </c>
      <c r="AB607" s="32">
        <v>90100</v>
      </c>
      <c r="AC607" s="43" t="s">
        <v>2266</v>
      </c>
      <c r="AH607" s="32" t="s">
        <v>397</v>
      </c>
      <c r="AI607" s="32" t="s">
        <v>2268</v>
      </c>
      <c r="AK607" s="40" t="s">
        <v>1056</v>
      </c>
      <c r="AL607" s="32">
        <v>2006</v>
      </c>
      <c r="AM607" s="32" t="s">
        <v>1057</v>
      </c>
      <c r="AN607" s="32" t="s">
        <v>1058</v>
      </c>
      <c r="AP607" s="35" t="s">
        <v>396</v>
      </c>
    </row>
    <row r="608" spans="1:42" x14ac:dyDescent="0.2">
      <c r="A608" s="40">
        <v>62</v>
      </c>
      <c r="B608" s="40">
        <v>607</v>
      </c>
      <c r="C608" s="40" t="s">
        <v>39</v>
      </c>
      <c r="D608" s="38" t="s">
        <v>26</v>
      </c>
      <c r="E608" s="32" t="s">
        <v>2186</v>
      </c>
      <c r="F608" s="32" t="s">
        <v>21</v>
      </c>
      <c r="G608" s="38" t="s">
        <v>163</v>
      </c>
      <c r="H608" s="32" t="s">
        <v>151</v>
      </c>
      <c r="I608" s="32" t="s">
        <v>61</v>
      </c>
      <c r="J608" s="32" t="s">
        <v>1007</v>
      </c>
      <c r="K608" s="32" t="s">
        <v>129</v>
      </c>
      <c r="L608" s="32" t="s">
        <v>30</v>
      </c>
      <c r="M608" s="32" t="s">
        <v>30</v>
      </c>
      <c r="N608" s="40">
        <v>2005</v>
      </c>
      <c r="O608" s="32">
        <f>VLOOKUP(Data!N1415, CPI!$A$2:$B$112, 2, 0)</f>
        <v>245.12</v>
      </c>
      <c r="P608" s="32" t="s">
        <v>238</v>
      </c>
      <c r="Q608" s="32" t="s">
        <v>239</v>
      </c>
      <c r="R608" s="32" t="s">
        <v>1015</v>
      </c>
      <c r="S608" s="32">
        <v>14360</v>
      </c>
      <c r="T608" s="32" t="s">
        <v>1028</v>
      </c>
      <c r="Z608" s="38" t="s">
        <v>303</v>
      </c>
      <c r="AA608" s="35" t="s">
        <v>1464</v>
      </c>
      <c r="AB608" s="32">
        <v>90100</v>
      </c>
      <c r="AC608" s="43" t="s">
        <v>2266</v>
      </c>
      <c r="AH608" s="32" t="s">
        <v>397</v>
      </c>
      <c r="AI608" s="32" t="s">
        <v>2268</v>
      </c>
      <c r="AK608" s="40" t="s">
        <v>1056</v>
      </c>
      <c r="AL608" s="32">
        <v>2006</v>
      </c>
      <c r="AM608" s="32" t="s">
        <v>1057</v>
      </c>
      <c r="AN608" s="32" t="s">
        <v>1058</v>
      </c>
      <c r="AP608" s="35" t="s">
        <v>396</v>
      </c>
    </row>
    <row r="609" spans="1:42" x14ac:dyDescent="0.2">
      <c r="A609" s="40">
        <v>62</v>
      </c>
      <c r="B609" s="40">
        <v>608</v>
      </c>
      <c r="C609" s="40" t="s">
        <v>39</v>
      </c>
      <c r="D609" s="38" t="s">
        <v>26</v>
      </c>
      <c r="E609" s="32" t="s">
        <v>2186</v>
      </c>
      <c r="F609" s="32" t="s">
        <v>21</v>
      </c>
      <c r="G609" s="38" t="s">
        <v>163</v>
      </c>
      <c r="H609" s="32" t="s">
        <v>151</v>
      </c>
      <c r="I609" s="32" t="s">
        <v>61</v>
      </c>
      <c r="J609" s="32" t="s">
        <v>1007</v>
      </c>
      <c r="K609" s="32" t="s">
        <v>129</v>
      </c>
      <c r="L609" s="32" t="s">
        <v>30</v>
      </c>
      <c r="M609" s="32" t="s">
        <v>30</v>
      </c>
      <c r="N609" s="40">
        <v>2005</v>
      </c>
      <c r="O609" s="32">
        <f>VLOOKUP(Data!N1416, CPI!$A$2:$B$112, 2, 0)</f>
        <v>245.12</v>
      </c>
      <c r="P609" s="32" t="s">
        <v>238</v>
      </c>
      <c r="Q609" s="32" t="s">
        <v>239</v>
      </c>
      <c r="R609" s="32" t="s">
        <v>1016</v>
      </c>
      <c r="S609" s="32">
        <v>6300</v>
      </c>
      <c r="T609" s="32" t="s">
        <v>1028</v>
      </c>
      <c r="Z609" s="38" t="s">
        <v>303</v>
      </c>
      <c r="AA609" s="35" t="s">
        <v>1464</v>
      </c>
      <c r="AB609" s="32">
        <v>90100</v>
      </c>
      <c r="AC609" s="43" t="s">
        <v>2266</v>
      </c>
      <c r="AH609" s="32" t="s">
        <v>397</v>
      </c>
      <c r="AI609" s="32" t="s">
        <v>2268</v>
      </c>
      <c r="AK609" s="40" t="s">
        <v>1056</v>
      </c>
      <c r="AL609" s="32">
        <v>2006</v>
      </c>
      <c r="AM609" s="32" t="s">
        <v>1057</v>
      </c>
      <c r="AN609" s="32" t="s">
        <v>1058</v>
      </c>
      <c r="AP609" s="35" t="s">
        <v>396</v>
      </c>
    </row>
    <row r="610" spans="1:42" x14ac:dyDescent="0.2">
      <c r="A610" s="40">
        <v>62</v>
      </c>
      <c r="B610" s="40">
        <v>609</v>
      </c>
      <c r="C610" s="40" t="s">
        <v>39</v>
      </c>
      <c r="D610" s="38" t="s">
        <v>26</v>
      </c>
      <c r="E610" s="32" t="s">
        <v>2186</v>
      </c>
      <c r="F610" s="32" t="s">
        <v>21</v>
      </c>
      <c r="G610" s="38" t="s">
        <v>163</v>
      </c>
      <c r="H610" s="32" t="s">
        <v>151</v>
      </c>
      <c r="I610" s="32" t="s">
        <v>61</v>
      </c>
      <c r="J610" s="32" t="s">
        <v>1007</v>
      </c>
      <c r="K610" s="32" t="s">
        <v>129</v>
      </c>
      <c r="L610" s="32" t="s">
        <v>30</v>
      </c>
      <c r="M610" s="32" t="s">
        <v>30</v>
      </c>
      <c r="N610" s="40">
        <v>2005</v>
      </c>
      <c r="O610" s="32">
        <f>VLOOKUP(Data!N1417, CPI!$A$2:$B$112, 2, 0)</f>
        <v>245.12</v>
      </c>
      <c r="P610" s="32" t="s">
        <v>238</v>
      </c>
      <c r="Q610" s="32" t="s">
        <v>239</v>
      </c>
      <c r="R610" s="32" t="s">
        <v>1017</v>
      </c>
      <c r="S610" s="32">
        <v>8300</v>
      </c>
      <c r="T610" s="32" t="s">
        <v>1028</v>
      </c>
      <c r="Z610" s="38" t="s">
        <v>303</v>
      </c>
      <c r="AA610" s="35" t="s">
        <v>1464</v>
      </c>
      <c r="AB610" s="32">
        <v>90100</v>
      </c>
      <c r="AC610" s="43" t="s">
        <v>2266</v>
      </c>
      <c r="AH610" s="32" t="s">
        <v>397</v>
      </c>
      <c r="AI610" s="32" t="s">
        <v>2268</v>
      </c>
      <c r="AK610" s="40" t="s">
        <v>1056</v>
      </c>
      <c r="AL610" s="32">
        <v>2006</v>
      </c>
      <c r="AM610" s="32" t="s">
        <v>1057</v>
      </c>
      <c r="AN610" s="32" t="s">
        <v>1058</v>
      </c>
      <c r="AP610" s="35" t="s">
        <v>396</v>
      </c>
    </row>
    <row r="611" spans="1:42" x14ac:dyDescent="0.2">
      <c r="A611" s="40">
        <v>62</v>
      </c>
      <c r="B611" s="40">
        <v>610</v>
      </c>
      <c r="C611" s="40" t="s">
        <v>39</v>
      </c>
      <c r="D611" s="38" t="s">
        <v>26</v>
      </c>
      <c r="E611" s="32" t="s">
        <v>2186</v>
      </c>
      <c r="F611" s="32" t="s">
        <v>21</v>
      </c>
      <c r="G611" s="38" t="s">
        <v>163</v>
      </c>
      <c r="H611" s="32" t="s">
        <v>151</v>
      </c>
      <c r="I611" s="32" t="s">
        <v>61</v>
      </c>
      <c r="J611" s="32" t="s">
        <v>1007</v>
      </c>
      <c r="K611" s="32" t="s">
        <v>129</v>
      </c>
      <c r="L611" s="32" t="s">
        <v>30</v>
      </c>
      <c r="M611" s="32" t="s">
        <v>30</v>
      </c>
      <c r="N611" s="40">
        <v>2005</v>
      </c>
      <c r="O611" s="32">
        <f>VLOOKUP(Data!N1418, CPI!$A$2:$B$112, 2, 0)</f>
        <v>245.12</v>
      </c>
      <c r="P611" s="32" t="s">
        <v>238</v>
      </c>
      <c r="Q611" s="32" t="s">
        <v>239</v>
      </c>
      <c r="R611" s="32" t="s">
        <v>1018</v>
      </c>
      <c r="S611" s="32">
        <v>9083</v>
      </c>
      <c r="T611" s="32" t="s">
        <v>1028</v>
      </c>
      <c r="Z611" s="38" t="s">
        <v>303</v>
      </c>
      <c r="AA611" s="35" t="s">
        <v>1464</v>
      </c>
      <c r="AB611" s="32">
        <v>90100</v>
      </c>
      <c r="AC611" s="43" t="s">
        <v>2266</v>
      </c>
      <c r="AH611" s="32" t="s">
        <v>397</v>
      </c>
      <c r="AI611" s="32" t="s">
        <v>2268</v>
      </c>
      <c r="AK611" s="40" t="s">
        <v>1056</v>
      </c>
      <c r="AL611" s="32">
        <v>2006</v>
      </c>
      <c r="AM611" s="32" t="s">
        <v>1057</v>
      </c>
      <c r="AN611" s="32" t="s">
        <v>1058</v>
      </c>
      <c r="AP611" s="35" t="s">
        <v>396</v>
      </c>
    </row>
    <row r="612" spans="1:42" x14ac:dyDescent="0.2">
      <c r="A612" s="40">
        <v>62</v>
      </c>
      <c r="B612" s="40">
        <v>611</v>
      </c>
      <c r="C612" s="40" t="s">
        <v>39</v>
      </c>
      <c r="D612" s="38" t="s">
        <v>26</v>
      </c>
      <c r="E612" s="32" t="s">
        <v>2186</v>
      </c>
      <c r="F612" s="32" t="s">
        <v>21</v>
      </c>
      <c r="G612" s="38" t="s">
        <v>163</v>
      </c>
      <c r="H612" s="32" t="s">
        <v>151</v>
      </c>
      <c r="I612" s="32" t="s">
        <v>61</v>
      </c>
      <c r="J612" s="32" t="s">
        <v>1007</v>
      </c>
      <c r="K612" s="32" t="s">
        <v>129</v>
      </c>
      <c r="L612" s="32" t="s">
        <v>30</v>
      </c>
      <c r="M612" s="32" t="s">
        <v>30</v>
      </c>
      <c r="N612" s="40">
        <v>2005</v>
      </c>
      <c r="O612" s="32">
        <f>VLOOKUP(Data!N1419, CPI!$A$2:$B$112, 2, 0)</f>
        <v>245.12</v>
      </c>
      <c r="P612" s="32" t="s">
        <v>238</v>
      </c>
      <c r="Q612" s="32" t="s">
        <v>239</v>
      </c>
      <c r="R612" s="32" t="s">
        <v>1019</v>
      </c>
      <c r="S612" s="32">
        <v>1106</v>
      </c>
      <c r="T612" s="32" t="s">
        <v>1028</v>
      </c>
      <c r="Z612" s="38" t="s">
        <v>303</v>
      </c>
      <c r="AA612" s="35" t="s">
        <v>1464</v>
      </c>
      <c r="AB612" s="32">
        <v>90100</v>
      </c>
      <c r="AC612" s="43" t="s">
        <v>2266</v>
      </c>
      <c r="AH612" s="32" t="s">
        <v>397</v>
      </c>
      <c r="AI612" s="32" t="s">
        <v>2268</v>
      </c>
      <c r="AK612" s="40" t="s">
        <v>1056</v>
      </c>
      <c r="AL612" s="32">
        <v>2006</v>
      </c>
      <c r="AM612" s="32" t="s">
        <v>1057</v>
      </c>
      <c r="AN612" s="32" t="s">
        <v>1058</v>
      </c>
      <c r="AP612" s="35" t="s">
        <v>396</v>
      </c>
    </row>
    <row r="613" spans="1:42" x14ac:dyDescent="0.2">
      <c r="A613" s="40">
        <v>62</v>
      </c>
      <c r="B613" s="40">
        <v>612</v>
      </c>
      <c r="C613" s="40" t="s">
        <v>39</v>
      </c>
      <c r="D613" s="38" t="s">
        <v>26</v>
      </c>
      <c r="E613" s="32" t="s">
        <v>2186</v>
      </c>
      <c r="F613" s="32" t="s">
        <v>21</v>
      </c>
      <c r="G613" s="38" t="s">
        <v>163</v>
      </c>
      <c r="H613" s="32" t="s">
        <v>151</v>
      </c>
      <c r="I613" s="32" t="s">
        <v>61</v>
      </c>
      <c r="J613" s="32" t="s">
        <v>1007</v>
      </c>
      <c r="K613" s="32" t="s">
        <v>129</v>
      </c>
      <c r="L613" s="32" t="s">
        <v>30</v>
      </c>
      <c r="M613" s="32" t="s">
        <v>30</v>
      </c>
      <c r="N613" s="40">
        <v>2005</v>
      </c>
      <c r="O613" s="32">
        <f>VLOOKUP(Data!N1420, CPI!$A$2:$B$112, 2, 0)</f>
        <v>245.12</v>
      </c>
      <c r="P613" s="32" t="s">
        <v>238</v>
      </c>
      <c r="Q613" s="32" t="s">
        <v>239</v>
      </c>
      <c r="R613" s="32" t="s">
        <v>1021</v>
      </c>
      <c r="S613" s="32">
        <v>25259</v>
      </c>
      <c r="T613" s="32" t="s">
        <v>1028</v>
      </c>
      <c r="Z613" s="38" t="s">
        <v>303</v>
      </c>
      <c r="AA613" s="35" t="s">
        <v>1464</v>
      </c>
      <c r="AB613" s="32">
        <v>90100</v>
      </c>
      <c r="AC613" s="43" t="s">
        <v>2266</v>
      </c>
      <c r="AH613" s="32" t="s">
        <v>397</v>
      </c>
      <c r="AI613" s="32" t="s">
        <v>2268</v>
      </c>
      <c r="AK613" s="40" t="s">
        <v>1056</v>
      </c>
      <c r="AL613" s="32">
        <v>2006</v>
      </c>
      <c r="AM613" s="32" t="s">
        <v>1057</v>
      </c>
      <c r="AN613" s="32" t="s">
        <v>1058</v>
      </c>
      <c r="AP613" s="35" t="s">
        <v>396</v>
      </c>
    </row>
    <row r="614" spans="1:42" x14ac:dyDescent="0.2">
      <c r="A614" s="40">
        <v>62</v>
      </c>
      <c r="B614" s="40">
        <v>613</v>
      </c>
      <c r="C614" s="40" t="s">
        <v>39</v>
      </c>
      <c r="D614" s="38" t="s">
        <v>26</v>
      </c>
      <c r="E614" s="32" t="s">
        <v>2186</v>
      </c>
      <c r="F614" s="32" t="s">
        <v>21</v>
      </c>
      <c r="G614" s="38" t="s">
        <v>163</v>
      </c>
      <c r="H614" s="32" t="s">
        <v>151</v>
      </c>
      <c r="I614" s="32" t="s">
        <v>61</v>
      </c>
      <c r="J614" s="32" t="s">
        <v>1007</v>
      </c>
      <c r="K614" s="32" t="s">
        <v>129</v>
      </c>
      <c r="L614" s="32" t="s">
        <v>30</v>
      </c>
      <c r="M614" s="32" t="s">
        <v>30</v>
      </c>
      <c r="N614" s="40">
        <v>2005</v>
      </c>
      <c r="O614" s="32">
        <f>VLOOKUP(Data!N1421, CPI!$A$2:$B$112, 2, 0)</f>
        <v>245.12</v>
      </c>
      <c r="P614" s="32" t="s">
        <v>238</v>
      </c>
      <c r="Q614" s="32" t="s">
        <v>239</v>
      </c>
      <c r="R614" s="32" t="s">
        <v>1022</v>
      </c>
      <c r="S614" s="32">
        <v>11636</v>
      </c>
      <c r="T614" s="32" t="s">
        <v>1028</v>
      </c>
      <c r="Z614" s="38" t="s">
        <v>303</v>
      </c>
      <c r="AA614" s="35" t="s">
        <v>1464</v>
      </c>
      <c r="AB614" s="32">
        <v>90100</v>
      </c>
      <c r="AC614" s="43" t="s">
        <v>2266</v>
      </c>
      <c r="AH614" s="32" t="s">
        <v>397</v>
      </c>
      <c r="AI614" s="32" t="s">
        <v>2268</v>
      </c>
      <c r="AK614" s="40" t="s">
        <v>1056</v>
      </c>
      <c r="AL614" s="32">
        <v>2006</v>
      </c>
      <c r="AM614" s="32" t="s">
        <v>1057</v>
      </c>
      <c r="AN614" s="32" t="s">
        <v>1058</v>
      </c>
      <c r="AP614" s="35" t="s">
        <v>396</v>
      </c>
    </row>
    <row r="615" spans="1:42" x14ac:dyDescent="0.2">
      <c r="A615" s="40">
        <v>62</v>
      </c>
      <c r="B615" s="40">
        <v>614</v>
      </c>
      <c r="C615" s="40" t="s">
        <v>39</v>
      </c>
      <c r="D615" s="38" t="s">
        <v>26</v>
      </c>
      <c r="E615" s="32" t="s">
        <v>2186</v>
      </c>
      <c r="F615" s="32" t="s">
        <v>21</v>
      </c>
      <c r="G615" s="38" t="s">
        <v>163</v>
      </c>
      <c r="H615" s="32" t="s">
        <v>151</v>
      </c>
      <c r="I615" s="32" t="s">
        <v>61</v>
      </c>
      <c r="J615" s="32" t="s">
        <v>1007</v>
      </c>
      <c r="K615" s="32" t="s">
        <v>129</v>
      </c>
      <c r="L615" s="32" t="s">
        <v>30</v>
      </c>
      <c r="M615" s="32" t="s">
        <v>30</v>
      </c>
      <c r="N615" s="40">
        <v>2005</v>
      </c>
      <c r="O615" s="32">
        <f>VLOOKUP(Data!N1422, CPI!$A$2:$B$112, 2, 0)</f>
        <v>245.12</v>
      </c>
      <c r="P615" s="32" t="s">
        <v>238</v>
      </c>
      <c r="Q615" s="32" t="s">
        <v>239</v>
      </c>
      <c r="R615" s="32" t="s">
        <v>1023</v>
      </c>
      <c r="S615" s="32">
        <v>6867</v>
      </c>
      <c r="T615" s="32" t="s">
        <v>1028</v>
      </c>
      <c r="Z615" s="38" t="s">
        <v>303</v>
      </c>
      <c r="AA615" s="35" t="s">
        <v>1464</v>
      </c>
      <c r="AB615" s="32">
        <v>90100</v>
      </c>
      <c r="AC615" s="43" t="s">
        <v>2266</v>
      </c>
      <c r="AH615" s="32" t="s">
        <v>397</v>
      </c>
      <c r="AI615" s="32" t="s">
        <v>2268</v>
      </c>
      <c r="AK615" s="40" t="s">
        <v>1056</v>
      </c>
      <c r="AL615" s="32">
        <v>2006</v>
      </c>
      <c r="AM615" s="32" t="s">
        <v>1057</v>
      </c>
      <c r="AN615" s="32" t="s">
        <v>1058</v>
      </c>
      <c r="AP615" s="35" t="s">
        <v>396</v>
      </c>
    </row>
    <row r="616" spans="1:42" x14ac:dyDescent="0.2">
      <c r="A616" s="40">
        <v>62</v>
      </c>
      <c r="B616" s="40">
        <v>615</v>
      </c>
      <c r="C616" s="40" t="s">
        <v>39</v>
      </c>
      <c r="D616" s="38" t="s">
        <v>26</v>
      </c>
      <c r="E616" s="32" t="s">
        <v>2186</v>
      </c>
      <c r="F616" s="32" t="s">
        <v>21</v>
      </c>
      <c r="G616" s="38" t="s">
        <v>163</v>
      </c>
      <c r="H616" s="32" t="s">
        <v>151</v>
      </c>
      <c r="I616" s="32" t="s">
        <v>61</v>
      </c>
      <c r="J616" s="32" t="s">
        <v>1007</v>
      </c>
      <c r="K616" s="32" t="s">
        <v>129</v>
      </c>
      <c r="L616" s="32" t="s">
        <v>30</v>
      </c>
      <c r="M616" s="32" t="s">
        <v>30</v>
      </c>
      <c r="N616" s="40">
        <v>2005</v>
      </c>
      <c r="O616" s="32">
        <f>VLOOKUP(Data!N1423, CPI!$A$2:$B$112, 2, 0)</f>
        <v>245.12</v>
      </c>
      <c r="P616" s="32" t="s">
        <v>238</v>
      </c>
      <c r="Q616" s="32" t="s">
        <v>239</v>
      </c>
      <c r="R616" s="32" t="s">
        <v>1024</v>
      </c>
      <c r="S616" s="32">
        <v>10777</v>
      </c>
      <c r="T616" s="32" t="s">
        <v>1028</v>
      </c>
      <c r="Z616" s="38" t="s">
        <v>303</v>
      </c>
      <c r="AA616" s="35" t="s">
        <v>1464</v>
      </c>
      <c r="AB616" s="32">
        <v>90100</v>
      </c>
      <c r="AC616" s="43" t="s">
        <v>2266</v>
      </c>
      <c r="AH616" s="32" t="s">
        <v>397</v>
      </c>
      <c r="AI616" s="32" t="s">
        <v>2268</v>
      </c>
      <c r="AK616" s="40" t="s">
        <v>1056</v>
      </c>
      <c r="AL616" s="32">
        <v>2006</v>
      </c>
      <c r="AM616" s="32" t="s">
        <v>1057</v>
      </c>
      <c r="AN616" s="32" t="s">
        <v>1058</v>
      </c>
      <c r="AP616" s="35" t="s">
        <v>396</v>
      </c>
    </row>
    <row r="617" spans="1:42" x14ac:dyDescent="0.2">
      <c r="A617" s="40">
        <v>62</v>
      </c>
      <c r="B617" s="40">
        <v>616</v>
      </c>
      <c r="C617" s="40" t="s">
        <v>39</v>
      </c>
      <c r="D617" s="38" t="s">
        <v>26</v>
      </c>
      <c r="E617" s="32" t="s">
        <v>2186</v>
      </c>
      <c r="F617" s="32" t="s">
        <v>21</v>
      </c>
      <c r="G617" s="38" t="s">
        <v>163</v>
      </c>
      <c r="H617" s="32" t="s">
        <v>151</v>
      </c>
      <c r="I617" s="32" t="s">
        <v>61</v>
      </c>
      <c r="J617" s="32" t="s">
        <v>1007</v>
      </c>
      <c r="K617" s="32" t="s">
        <v>129</v>
      </c>
      <c r="L617" s="32" t="s">
        <v>30</v>
      </c>
      <c r="M617" s="32" t="s">
        <v>30</v>
      </c>
      <c r="N617" s="40">
        <v>2005</v>
      </c>
      <c r="O617" s="32">
        <f>VLOOKUP(Data!N1424, CPI!$A$2:$B$112, 2, 0)</f>
        <v>245.12</v>
      </c>
      <c r="P617" s="32" t="s">
        <v>238</v>
      </c>
      <c r="Q617" s="32" t="s">
        <v>239</v>
      </c>
      <c r="R617" s="32" t="s">
        <v>1025</v>
      </c>
      <c r="S617" s="32">
        <v>17300</v>
      </c>
      <c r="T617" s="32" t="s">
        <v>1028</v>
      </c>
      <c r="Z617" s="38" t="s">
        <v>303</v>
      </c>
      <c r="AA617" s="35" t="s">
        <v>1464</v>
      </c>
      <c r="AB617" s="32">
        <v>90100</v>
      </c>
      <c r="AC617" s="43" t="s">
        <v>2266</v>
      </c>
      <c r="AH617" s="32" t="s">
        <v>397</v>
      </c>
      <c r="AI617" s="32" t="s">
        <v>2268</v>
      </c>
      <c r="AK617" s="40" t="s">
        <v>1056</v>
      </c>
      <c r="AL617" s="32">
        <v>2006</v>
      </c>
      <c r="AM617" s="32" t="s">
        <v>1057</v>
      </c>
      <c r="AN617" s="32" t="s">
        <v>1058</v>
      </c>
      <c r="AP617" s="35" t="s">
        <v>396</v>
      </c>
    </row>
    <row r="618" spans="1:42" x14ac:dyDescent="0.2">
      <c r="A618" s="40">
        <v>62</v>
      </c>
      <c r="B618" s="40">
        <v>617</v>
      </c>
      <c r="C618" s="40" t="s">
        <v>39</v>
      </c>
      <c r="D618" s="38" t="s">
        <v>26</v>
      </c>
      <c r="E618" s="32" t="s">
        <v>2186</v>
      </c>
      <c r="F618" s="32" t="s">
        <v>21</v>
      </c>
      <c r="G618" s="38" t="s">
        <v>163</v>
      </c>
      <c r="H618" s="32" t="s">
        <v>151</v>
      </c>
      <c r="I618" s="32" t="s">
        <v>61</v>
      </c>
      <c r="J618" s="32" t="s">
        <v>1007</v>
      </c>
      <c r="K618" s="32" t="s">
        <v>129</v>
      </c>
      <c r="L618" s="32" t="s">
        <v>30</v>
      </c>
      <c r="M618" s="32" t="s">
        <v>30</v>
      </c>
      <c r="N618" s="40">
        <v>2005</v>
      </c>
      <c r="O618" s="32">
        <f>VLOOKUP(Data!N1425, CPI!$A$2:$B$112, 2, 0)</f>
        <v>245.12</v>
      </c>
      <c r="P618" s="32" t="s">
        <v>238</v>
      </c>
      <c r="Q618" s="32" t="s">
        <v>239</v>
      </c>
      <c r="R618" s="32" t="s">
        <v>1026</v>
      </c>
      <c r="S618" s="32">
        <v>735</v>
      </c>
      <c r="T618" s="32" t="s">
        <v>1028</v>
      </c>
      <c r="Z618" s="38" t="s">
        <v>303</v>
      </c>
      <c r="AA618" s="35" t="s">
        <v>1464</v>
      </c>
      <c r="AB618" s="32">
        <v>90100</v>
      </c>
      <c r="AC618" s="43" t="s">
        <v>2266</v>
      </c>
      <c r="AH618" s="32" t="s">
        <v>397</v>
      </c>
      <c r="AI618" s="32" t="s">
        <v>2268</v>
      </c>
      <c r="AK618" s="40" t="s">
        <v>1056</v>
      </c>
      <c r="AL618" s="32">
        <v>2006</v>
      </c>
      <c r="AM618" s="32" t="s">
        <v>1057</v>
      </c>
      <c r="AN618" s="32" t="s">
        <v>1058</v>
      </c>
      <c r="AP618" s="35" t="s">
        <v>396</v>
      </c>
    </row>
    <row r="619" spans="1:42" x14ac:dyDescent="0.2">
      <c r="A619" s="40">
        <v>62</v>
      </c>
      <c r="B619" s="40">
        <v>618</v>
      </c>
      <c r="C619" s="40" t="s">
        <v>39</v>
      </c>
      <c r="D619" s="38" t="s">
        <v>26</v>
      </c>
      <c r="E619" s="32" t="s">
        <v>2186</v>
      </c>
      <c r="F619" s="32" t="s">
        <v>21</v>
      </c>
      <c r="G619" s="38" t="s">
        <v>163</v>
      </c>
      <c r="H619" s="32" t="s">
        <v>151</v>
      </c>
      <c r="I619" s="32" t="s">
        <v>61</v>
      </c>
      <c r="J619" s="32" t="s">
        <v>1007</v>
      </c>
      <c r="K619" s="32" t="s">
        <v>129</v>
      </c>
      <c r="L619" s="32" t="s">
        <v>30</v>
      </c>
      <c r="M619" s="32" t="s">
        <v>30</v>
      </c>
      <c r="N619" s="40">
        <v>2005</v>
      </c>
      <c r="O619" s="32">
        <f>VLOOKUP(Data!N1426, CPI!$A$2:$B$112, 2, 0)</f>
        <v>245.12</v>
      </c>
      <c r="P619" s="32" t="s">
        <v>238</v>
      </c>
      <c r="Q619" s="32" t="s">
        <v>239</v>
      </c>
      <c r="R619" s="32" t="s">
        <v>1027</v>
      </c>
      <c r="S619" s="32">
        <v>21374</v>
      </c>
      <c r="T619" s="32" t="s">
        <v>1028</v>
      </c>
      <c r="Z619" s="38" t="s">
        <v>303</v>
      </c>
      <c r="AA619" s="35" t="s">
        <v>1464</v>
      </c>
      <c r="AB619" s="32">
        <v>90100</v>
      </c>
      <c r="AC619" s="43" t="s">
        <v>2266</v>
      </c>
      <c r="AH619" s="32" t="s">
        <v>397</v>
      </c>
      <c r="AI619" s="32" t="s">
        <v>2268</v>
      </c>
      <c r="AK619" s="40" t="s">
        <v>1056</v>
      </c>
      <c r="AL619" s="32">
        <v>2006</v>
      </c>
      <c r="AM619" s="32" t="s">
        <v>1057</v>
      </c>
      <c r="AN619" s="32" t="s">
        <v>1058</v>
      </c>
      <c r="AP619" s="35" t="s">
        <v>396</v>
      </c>
    </row>
    <row r="620" spans="1:42" x14ac:dyDescent="0.2">
      <c r="A620" s="40">
        <v>62</v>
      </c>
      <c r="B620" s="40">
        <v>619</v>
      </c>
      <c r="C620" s="40" t="s">
        <v>39</v>
      </c>
      <c r="D620" s="38" t="s">
        <v>26</v>
      </c>
      <c r="E620" s="32" t="s">
        <v>2186</v>
      </c>
      <c r="F620" s="32" t="s">
        <v>21</v>
      </c>
      <c r="G620" s="38" t="s">
        <v>163</v>
      </c>
      <c r="H620" s="32" t="s">
        <v>151</v>
      </c>
      <c r="I620" s="32" t="s">
        <v>61</v>
      </c>
      <c r="J620" s="32" t="s">
        <v>1007</v>
      </c>
      <c r="K620" s="32" t="s">
        <v>129</v>
      </c>
      <c r="L620" s="32" t="s">
        <v>30</v>
      </c>
      <c r="M620" s="32" t="s">
        <v>30</v>
      </c>
      <c r="N620" s="40">
        <v>2005</v>
      </c>
      <c r="O620" s="32">
        <f>VLOOKUP(Data!N1427, CPI!$A$2:$B$112, 2, 0)</f>
        <v>245.12</v>
      </c>
      <c r="P620" s="32" t="s">
        <v>238</v>
      </c>
      <c r="Q620" s="32" t="s">
        <v>239</v>
      </c>
      <c r="R620" s="32" t="s">
        <v>1029</v>
      </c>
      <c r="S620" s="32">
        <v>25964</v>
      </c>
      <c r="T620" s="32" t="s">
        <v>1028</v>
      </c>
      <c r="Z620" s="38" t="s">
        <v>303</v>
      </c>
      <c r="AA620" s="35" t="s">
        <v>1464</v>
      </c>
      <c r="AB620" s="32">
        <v>90100</v>
      </c>
      <c r="AC620" s="43" t="s">
        <v>2266</v>
      </c>
      <c r="AH620" s="32" t="s">
        <v>397</v>
      </c>
      <c r="AI620" s="32" t="s">
        <v>2268</v>
      </c>
      <c r="AK620" s="40" t="s">
        <v>1056</v>
      </c>
      <c r="AL620" s="32">
        <v>2006</v>
      </c>
      <c r="AM620" s="32" t="s">
        <v>1057</v>
      </c>
      <c r="AN620" s="32" t="s">
        <v>1058</v>
      </c>
      <c r="AP620" s="35" t="s">
        <v>396</v>
      </c>
    </row>
    <row r="621" spans="1:42" x14ac:dyDescent="0.2">
      <c r="A621" s="40">
        <v>62</v>
      </c>
      <c r="B621" s="40">
        <v>620</v>
      </c>
      <c r="C621" s="40" t="s">
        <v>39</v>
      </c>
      <c r="D621" s="38" t="s">
        <v>26</v>
      </c>
      <c r="E621" s="32" t="s">
        <v>2186</v>
      </c>
      <c r="F621" s="32" t="s">
        <v>21</v>
      </c>
      <c r="G621" s="38" t="s">
        <v>163</v>
      </c>
      <c r="H621" s="32" t="s">
        <v>151</v>
      </c>
      <c r="I621" s="32" t="s">
        <v>61</v>
      </c>
      <c r="J621" s="32" t="s">
        <v>1007</v>
      </c>
      <c r="K621" s="32" t="s">
        <v>129</v>
      </c>
      <c r="L621" s="32" t="s">
        <v>30</v>
      </c>
      <c r="M621" s="32" t="s">
        <v>30</v>
      </c>
      <c r="N621" s="40">
        <v>2005</v>
      </c>
      <c r="O621" s="32">
        <f>VLOOKUP(Data!N1428, CPI!$A$2:$B$112, 2, 0)</f>
        <v>245.12</v>
      </c>
      <c r="P621" s="32" t="s">
        <v>238</v>
      </c>
      <c r="Q621" s="32" t="s">
        <v>239</v>
      </c>
      <c r="R621" s="32" t="s">
        <v>1030</v>
      </c>
      <c r="S621" s="32">
        <v>30392</v>
      </c>
      <c r="T621" s="32" t="s">
        <v>1028</v>
      </c>
      <c r="Z621" s="38" t="s">
        <v>303</v>
      </c>
      <c r="AA621" s="35" t="s">
        <v>1464</v>
      </c>
      <c r="AB621" s="32">
        <v>90100</v>
      </c>
      <c r="AC621" s="43" t="s">
        <v>2266</v>
      </c>
      <c r="AH621" s="32" t="s">
        <v>397</v>
      </c>
      <c r="AI621" s="32" t="s">
        <v>2268</v>
      </c>
      <c r="AK621" s="40" t="s">
        <v>1056</v>
      </c>
      <c r="AL621" s="32">
        <v>2006</v>
      </c>
      <c r="AM621" s="32" t="s">
        <v>1057</v>
      </c>
      <c r="AN621" s="32" t="s">
        <v>1058</v>
      </c>
      <c r="AP621" s="35" t="s">
        <v>396</v>
      </c>
    </row>
    <row r="622" spans="1:42" x14ac:dyDescent="0.2">
      <c r="A622" s="40">
        <v>62</v>
      </c>
      <c r="B622" s="40">
        <v>621</v>
      </c>
      <c r="C622" s="40" t="s">
        <v>39</v>
      </c>
      <c r="D622" s="38" t="s">
        <v>26</v>
      </c>
      <c r="E622" s="32" t="s">
        <v>2186</v>
      </c>
      <c r="F622" s="32" t="s">
        <v>21</v>
      </c>
      <c r="G622" s="38" t="s">
        <v>163</v>
      </c>
      <c r="H622" s="32" t="s">
        <v>151</v>
      </c>
      <c r="I622" s="32" t="s">
        <v>61</v>
      </c>
      <c r="J622" s="32" t="s">
        <v>1007</v>
      </c>
      <c r="K622" s="32" t="s">
        <v>129</v>
      </c>
      <c r="L622" s="32" t="s">
        <v>30</v>
      </c>
      <c r="M622" s="32" t="s">
        <v>30</v>
      </c>
      <c r="N622" s="40">
        <v>2005</v>
      </c>
      <c r="O622" s="32">
        <f>VLOOKUP(Data!N1429, CPI!$A$2:$B$112, 2, 0)</f>
        <v>245.12</v>
      </c>
      <c r="P622" s="32" t="s">
        <v>238</v>
      </c>
      <c r="Q622" s="32" t="s">
        <v>239</v>
      </c>
      <c r="R622" s="32" t="s">
        <v>1031</v>
      </c>
      <c r="S622" s="32">
        <v>27001</v>
      </c>
      <c r="T622" s="32" t="s">
        <v>1028</v>
      </c>
      <c r="Z622" s="38" t="s">
        <v>303</v>
      </c>
      <c r="AA622" s="35" t="s">
        <v>1464</v>
      </c>
      <c r="AB622" s="32">
        <v>90100</v>
      </c>
      <c r="AC622" s="43" t="s">
        <v>2266</v>
      </c>
      <c r="AH622" s="32" t="s">
        <v>397</v>
      </c>
      <c r="AI622" s="32" t="s">
        <v>2268</v>
      </c>
      <c r="AK622" s="40" t="s">
        <v>1056</v>
      </c>
      <c r="AL622" s="32">
        <v>2006</v>
      </c>
      <c r="AM622" s="32" t="s">
        <v>1057</v>
      </c>
      <c r="AN622" s="32" t="s">
        <v>1058</v>
      </c>
      <c r="AP622" s="35" t="s">
        <v>396</v>
      </c>
    </row>
    <row r="623" spans="1:42" x14ac:dyDescent="0.2">
      <c r="A623" s="40">
        <v>63</v>
      </c>
      <c r="B623" s="40">
        <v>622</v>
      </c>
      <c r="C623" s="40" t="s">
        <v>249</v>
      </c>
      <c r="D623" s="38" t="s">
        <v>150</v>
      </c>
      <c r="E623" s="32" t="s">
        <v>2887</v>
      </c>
      <c r="F623" s="32" t="s">
        <v>121</v>
      </c>
      <c r="G623" s="38" t="s">
        <v>123</v>
      </c>
      <c r="H623" s="32" t="s">
        <v>151</v>
      </c>
      <c r="I623" s="32" t="s">
        <v>243</v>
      </c>
      <c r="J623" s="32" t="s">
        <v>1059</v>
      </c>
      <c r="K623" s="32" t="s">
        <v>129</v>
      </c>
      <c r="L623" s="32" t="s">
        <v>30</v>
      </c>
      <c r="M623" s="32" t="s">
        <v>30</v>
      </c>
      <c r="N623" s="40">
        <v>2006</v>
      </c>
      <c r="O623" s="32">
        <f>VLOOKUP(Data!N522, CPI!$A$2:$B$112, 2, 0)</f>
        <v>207.3</v>
      </c>
      <c r="P623" s="32" t="s">
        <v>56</v>
      </c>
      <c r="Q623" s="32" t="s">
        <v>239</v>
      </c>
      <c r="R623" s="32" t="s">
        <v>1060</v>
      </c>
      <c r="S623" s="32">
        <v>33</v>
      </c>
      <c r="T623" s="32" t="s">
        <v>316</v>
      </c>
      <c r="U623" s="32">
        <v>33</v>
      </c>
      <c r="V623" s="32" t="s">
        <v>316</v>
      </c>
      <c r="X623" s="32">
        <f t="shared" ref="X623:X628" si="38">U623</f>
        <v>33</v>
      </c>
      <c r="Y623" s="32">
        <f>(CPI!$B$112/O623)*X623</f>
        <v>48.501363965267736</v>
      </c>
      <c r="Z623" s="38" t="s">
        <v>262</v>
      </c>
      <c r="AA623" s="35" t="s">
        <v>2103</v>
      </c>
      <c r="AB623" s="32">
        <v>10040</v>
      </c>
      <c r="AC623" s="32" t="s">
        <v>2103</v>
      </c>
      <c r="AH623" s="59" t="s">
        <v>411</v>
      </c>
      <c r="AK623" s="40" t="s">
        <v>1061</v>
      </c>
      <c r="AL623" s="32">
        <v>2013</v>
      </c>
      <c r="AM623" s="32" t="s">
        <v>1062</v>
      </c>
      <c r="AN623" s="32" t="s">
        <v>1063</v>
      </c>
      <c r="AO623" s="38" t="s">
        <v>1064</v>
      </c>
      <c r="AP623" s="35" t="s">
        <v>396</v>
      </c>
    </row>
    <row r="624" spans="1:42" x14ac:dyDescent="0.2">
      <c r="A624" s="40">
        <v>63</v>
      </c>
      <c r="B624" s="40">
        <v>623</v>
      </c>
      <c r="C624" s="40" t="s">
        <v>249</v>
      </c>
      <c r="D624" s="38" t="s">
        <v>150</v>
      </c>
      <c r="E624" s="32" t="s">
        <v>2887</v>
      </c>
      <c r="F624" s="32" t="s">
        <v>121</v>
      </c>
      <c r="G624" s="38" t="s">
        <v>123</v>
      </c>
      <c r="H624" s="32" t="s">
        <v>151</v>
      </c>
      <c r="I624" s="32" t="s">
        <v>243</v>
      </c>
      <c r="J624" s="32" t="s">
        <v>1059</v>
      </c>
      <c r="K624" s="32" t="s">
        <v>129</v>
      </c>
      <c r="L624" s="32" t="s">
        <v>30</v>
      </c>
      <c r="M624" s="32" t="s">
        <v>30</v>
      </c>
      <c r="N624" s="40">
        <v>2009</v>
      </c>
      <c r="O624" s="32">
        <f>VLOOKUP(Data!N523, CPI!$A$2:$B$112, 2, 0)</f>
        <v>207.3</v>
      </c>
      <c r="P624" s="32" t="s">
        <v>56</v>
      </c>
      <c r="Q624" s="32" t="s">
        <v>239</v>
      </c>
      <c r="R624" s="32" t="s">
        <v>1060</v>
      </c>
      <c r="S624" s="32">
        <v>36</v>
      </c>
      <c r="T624" s="32" t="s">
        <v>316</v>
      </c>
      <c r="U624" s="32">
        <v>36</v>
      </c>
      <c r="V624" s="32" t="s">
        <v>316</v>
      </c>
      <c r="X624" s="32">
        <f t="shared" si="38"/>
        <v>36</v>
      </c>
      <c r="Y624" s="32">
        <f>(CPI!$B$112/O624)*X624</f>
        <v>52.91057887120116</v>
      </c>
      <c r="Z624" s="38" t="s">
        <v>262</v>
      </c>
      <c r="AA624" s="35" t="s">
        <v>2103</v>
      </c>
      <c r="AB624" s="32">
        <v>10040</v>
      </c>
      <c r="AC624" s="32" t="s">
        <v>2103</v>
      </c>
      <c r="AH624" s="59" t="s">
        <v>411</v>
      </c>
      <c r="AK624" s="40" t="s">
        <v>1061</v>
      </c>
      <c r="AL624" s="32">
        <v>2013</v>
      </c>
      <c r="AM624" s="32" t="s">
        <v>1062</v>
      </c>
      <c r="AN624" s="32" t="s">
        <v>1063</v>
      </c>
      <c r="AO624" s="38" t="s">
        <v>1064</v>
      </c>
      <c r="AP624" s="35" t="s">
        <v>396</v>
      </c>
    </row>
    <row r="625" spans="1:42" x14ac:dyDescent="0.2">
      <c r="A625" s="40">
        <v>63</v>
      </c>
      <c r="B625" s="40">
        <v>624</v>
      </c>
      <c r="C625" s="40" t="s">
        <v>249</v>
      </c>
      <c r="D625" s="38" t="s">
        <v>150</v>
      </c>
      <c r="E625" s="32" t="s">
        <v>2887</v>
      </c>
      <c r="F625" s="32" t="s">
        <v>121</v>
      </c>
      <c r="G625" s="38" t="s">
        <v>123</v>
      </c>
      <c r="H625" s="32" t="s">
        <v>151</v>
      </c>
      <c r="I625" s="32" t="s">
        <v>243</v>
      </c>
      <c r="J625" s="32" t="s">
        <v>1059</v>
      </c>
      <c r="K625" s="32" t="s">
        <v>129</v>
      </c>
      <c r="L625" s="32" t="s">
        <v>30</v>
      </c>
      <c r="M625" s="32" t="s">
        <v>30</v>
      </c>
      <c r="N625" s="40">
        <v>2011</v>
      </c>
      <c r="O625" s="32">
        <f>VLOOKUP(Data!N524, CPI!$A$2:$B$112, 2, 0)</f>
        <v>207.3</v>
      </c>
      <c r="P625" s="32" t="s">
        <v>56</v>
      </c>
      <c r="Q625" s="32" t="s">
        <v>239</v>
      </c>
      <c r="R625" s="32" t="s">
        <v>1060</v>
      </c>
      <c r="S625" s="32">
        <v>41</v>
      </c>
      <c r="T625" s="32" t="s">
        <v>316</v>
      </c>
      <c r="U625" s="32">
        <v>41</v>
      </c>
      <c r="V625" s="32" t="s">
        <v>316</v>
      </c>
      <c r="X625" s="32">
        <f t="shared" si="38"/>
        <v>41</v>
      </c>
      <c r="Y625" s="32">
        <f>(CPI!$B$112/O625)*X625</f>
        <v>60.259270381090211</v>
      </c>
      <c r="Z625" s="38" t="s">
        <v>262</v>
      </c>
      <c r="AA625" s="35" t="s">
        <v>2103</v>
      </c>
      <c r="AB625" s="32">
        <v>10040</v>
      </c>
      <c r="AC625" s="32" t="s">
        <v>2103</v>
      </c>
      <c r="AD625" s="32" t="s">
        <v>2281</v>
      </c>
      <c r="AH625" s="59" t="s">
        <v>411</v>
      </c>
      <c r="AK625" s="40" t="s">
        <v>1061</v>
      </c>
      <c r="AL625" s="32">
        <v>2013</v>
      </c>
      <c r="AM625" s="32" t="s">
        <v>1062</v>
      </c>
      <c r="AN625" s="32" t="s">
        <v>1063</v>
      </c>
      <c r="AO625" s="38" t="s">
        <v>1064</v>
      </c>
      <c r="AP625" s="35" t="s">
        <v>396</v>
      </c>
    </row>
    <row r="626" spans="1:42" x14ac:dyDescent="0.2">
      <c r="A626" s="40">
        <v>64</v>
      </c>
      <c r="B626" s="40">
        <v>625</v>
      </c>
      <c r="C626" s="40" t="s">
        <v>114</v>
      </c>
      <c r="D626" s="38" t="s">
        <v>218</v>
      </c>
      <c r="E626" s="32" t="s">
        <v>2183</v>
      </c>
      <c r="F626" s="32" t="s">
        <v>244</v>
      </c>
      <c r="G626" s="38" t="s">
        <v>162</v>
      </c>
      <c r="H626" s="32" t="s">
        <v>242</v>
      </c>
      <c r="I626" s="32" t="s">
        <v>243</v>
      </c>
      <c r="J626" s="32" t="s">
        <v>1065</v>
      </c>
      <c r="K626" s="32" t="s">
        <v>129</v>
      </c>
      <c r="L626" s="32" t="s">
        <v>30</v>
      </c>
      <c r="M626" s="32" t="s">
        <v>30</v>
      </c>
      <c r="N626" s="40">
        <v>2017</v>
      </c>
      <c r="O626" s="32">
        <f>VLOOKUP(Data!N525, CPI!$A$2:$B$112, 2, 0)</f>
        <v>207.3</v>
      </c>
      <c r="P626" s="32" t="s">
        <v>122</v>
      </c>
      <c r="Q626" s="32" t="s">
        <v>4</v>
      </c>
      <c r="R626" s="32" t="s">
        <v>2424</v>
      </c>
      <c r="S626" s="32">
        <v>3599648</v>
      </c>
      <c r="T626" s="32" t="s">
        <v>300</v>
      </c>
      <c r="U626" s="32">
        <f>S626/AB626</f>
        <v>4.026001565820378</v>
      </c>
      <c r="V626" s="32" t="s">
        <v>316</v>
      </c>
      <c r="X626" s="32">
        <f t="shared" si="38"/>
        <v>4.026001565820378</v>
      </c>
      <c r="Y626" s="32">
        <f>(CPI!$B$112/O626)*X626</f>
        <v>5.9171687051088471</v>
      </c>
      <c r="Z626" s="38" t="s">
        <v>262</v>
      </c>
      <c r="AA626" s="35" t="s">
        <v>2425</v>
      </c>
      <c r="AB626" s="32">
        <v>894100</v>
      </c>
      <c r="AC626" s="32" t="s">
        <v>2428</v>
      </c>
      <c r="AH626" s="59" t="s">
        <v>411</v>
      </c>
      <c r="AJ626" s="35" t="s">
        <v>2278</v>
      </c>
      <c r="AK626" s="40" t="s">
        <v>1067</v>
      </c>
      <c r="AL626" s="32">
        <v>2019</v>
      </c>
      <c r="AM626" s="32" t="s">
        <v>1068</v>
      </c>
      <c r="AN626" s="32" t="s">
        <v>1069</v>
      </c>
      <c r="AO626" s="38" t="s">
        <v>1070</v>
      </c>
      <c r="AP626" s="35" t="s">
        <v>396</v>
      </c>
    </row>
    <row r="627" spans="1:42" x14ac:dyDescent="0.2">
      <c r="A627" s="40">
        <v>64</v>
      </c>
      <c r="B627" s="40">
        <v>626</v>
      </c>
      <c r="C627" s="40" t="s">
        <v>114</v>
      </c>
      <c r="D627" s="38" t="s">
        <v>218</v>
      </c>
      <c r="E627" s="32" t="s">
        <v>2183</v>
      </c>
      <c r="F627" s="32" t="s">
        <v>244</v>
      </c>
      <c r="G627" s="38" t="s">
        <v>162</v>
      </c>
      <c r="H627" s="32" t="s">
        <v>242</v>
      </c>
      <c r="I627" s="32" t="s">
        <v>243</v>
      </c>
      <c r="J627" s="32" t="s">
        <v>1065</v>
      </c>
      <c r="K627" s="32" t="s">
        <v>129</v>
      </c>
      <c r="L627" s="32" t="s">
        <v>30</v>
      </c>
      <c r="M627" s="32" t="s">
        <v>30</v>
      </c>
      <c r="N627" s="40">
        <v>2017</v>
      </c>
      <c r="O627" s="32">
        <f>VLOOKUP(Data!N526, CPI!$A$2:$B$112, 2, 0)</f>
        <v>207.3</v>
      </c>
      <c r="P627" s="32" t="s">
        <v>122</v>
      </c>
      <c r="Q627" s="32" t="s">
        <v>4</v>
      </c>
      <c r="R627" s="32" t="s">
        <v>2426</v>
      </c>
      <c r="S627" s="32">
        <v>15247232</v>
      </c>
      <c r="T627" s="32" t="s">
        <v>300</v>
      </c>
      <c r="U627" s="32">
        <f>S627/AB627</f>
        <v>17.053161838720502</v>
      </c>
      <c r="V627" s="32" t="s">
        <v>316</v>
      </c>
      <c r="X627" s="32">
        <f t="shared" si="38"/>
        <v>17.053161838720502</v>
      </c>
      <c r="Y627" s="32">
        <f>(CPI!$B$112/O627)*X627</f>
        <v>25.06368512419386</v>
      </c>
      <c r="Z627" s="38" t="s">
        <v>262</v>
      </c>
      <c r="AA627" s="35" t="s">
        <v>2425</v>
      </c>
      <c r="AB627" s="32">
        <v>894100</v>
      </c>
      <c r="AC627" s="32" t="s">
        <v>2428</v>
      </c>
      <c r="AH627" s="59" t="s">
        <v>411</v>
      </c>
      <c r="AJ627" s="35" t="s">
        <v>2278</v>
      </c>
      <c r="AK627" s="40" t="s">
        <v>1067</v>
      </c>
      <c r="AL627" s="32">
        <v>2019</v>
      </c>
      <c r="AM627" s="32" t="s">
        <v>1068</v>
      </c>
      <c r="AN627" s="32" t="s">
        <v>1069</v>
      </c>
      <c r="AO627" s="38" t="s">
        <v>1070</v>
      </c>
      <c r="AP627" s="35" t="s">
        <v>396</v>
      </c>
    </row>
    <row r="628" spans="1:42" x14ac:dyDescent="0.2">
      <c r="A628" s="40">
        <v>64</v>
      </c>
      <c r="B628" s="40">
        <v>627</v>
      </c>
      <c r="C628" s="40" t="s">
        <v>114</v>
      </c>
      <c r="D628" s="38" t="s">
        <v>218</v>
      </c>
      <c r="E628" s="32" t="s">
        <v>2183</v>
      </c>
      <c r="F628" s="32" t="s">
        <v>244</v>
      </c>
      <c r="G628" s="38" t="s">
        <v>162</v>
      </c>
      <c r="H628" s="32" t="s">
        <v>242</v>
      </c>
      <c r="I628" s="32" t="s">
        <v>243</v>
      </c>
      <c r="J628" s="32" t="s">
        <v>1065</v>
      </c>
      <c r="K628" s="32" t="s">
        <v>129</v>
      </c>
      <c r="L628" s="32" t="s">
        <v>30</v>
      </c>
      <c r="M628" s="32" t="s">
        <v>30</v>
      </c>
      <c r="N628" s="40">
        <v>2017</v>
      </c>
      <c r="O628" s="32">
        <f>VLOOKUP(Data!N527, CPI!$A$2:$B$112, 2, 0)</f>
        <v>207.3</v>
      </c>
      <c r="P628" s="32" t="s">
        <v>122</v>
      </c>
      <c r="Q628" s="32" t="s">
        <v>4</v>
      </c>
      <c r="R628" s="32" t="s">
        <v>2427</v>
      </c>
      <c r="S628" s="32">
        <v>61371294</v>
      </c>
      <c r="T628" s="32" t="s">
        <v>300</v>
      </c>
      <c r="U628" s="32">
        <f>S628/AB628</f>
        <v>68.640301979644335</v>
      </c>
      <c r="V628" s="32" t="s">
        <v>316</v>
      </c>
      <c r="X628" s="32">
        <f t="shared" si="38"/>
        <v>68.640301979644335</v>
      </c>
      <c r="Y628" s="32">
        <f>(CPI!$B$112/O628)*X628</f>
        <v>100.88328087880657</v>
      </c>
      <c r="Z628" s="38" t="s">
        <v>262</v>
      </c>
      <c r="AA628" s="35" t="s">
        <v>2425</v>
      </c>
      <c r="AB628" s="32">
        <v>894100</v>
      </c>
      <c r="AC628" s="32" t="s">
        <v>2428</v>
      </c>
      <c r="AH628" s="59" t="s">
        <v>411</v>
      </c>
      <c r="AJ628" s="35" t="s">
        <v>2278</v>
      </c>
      <c r="AK628" s="40" t="s">
        <v>1067</v>
      </c>
      <c r="AL628" s="32">
        <v>2019</v>
      </c>
      <c r="AM628" s="32" t="s">
        <v>1068</v>
      </c>
      <c r="AN628" s="32" t="s">
        <v>1069</v>
      </c>
      <c r="AO628" s="38" t="s">
        <v>1070</v>
      </c>
      <c r="AP628" s="35" t="s">
        <v>396</v>
      </c>
    </row>
    <row r="629" spans="1:42" x14ac:dyDescent="0.2">
      <c r="A629" s="40">
        <v>64</v>
      </c>
      <c r="B629" s="40">
        <v>628</v>
      </c>
      <c r="C629" s="40" t="s">
        <v>114</v>
      </c>
      <c r="D629" s="38" t="s">
        <v>218</v>
      </c>
      <c r="E629" s="32" t="s">
        <v>2183</v>
      </c>
      <c r="F629" s="32" t="s">
        <v>244</v>
      </c>
      <c r="G629" s="38" t="s">
        <v>162</v>
      </c>
      <c r="H629" s="32" t="s">
        <v>242</v>
      </c>
      <c r="I629" s="32" t="s">
        <v>243</v>
      </c>
      <c r="J629" s="32" t="s">
        <v>1065</v>
      </c>
      <c r="K629" s="32" t="s">
        <v>129</v>
      </c>
      <c r="L629" s="32" t="s">
        <v>30</v>
      </c>
      <c r="M629" s="32" t="s">
        <v>30</v>
      </c>
      <c r="N629" s="40">
        <v>2017</v>
      </c>
      <c r="O629" s="32">
        <f>VLOOKUP(Data!N1430, CPI!$A$2:$B$112, 2, 0)</f>
        <v>109.6</v>
      </c>
      <c r="P629" s="32" t="s">
        <v>122</v>
      </c>
      <c r="Q629" s="32" t="s">
        <v>4</v>
      </c>
      <c r="R629" s="32" t="s">
        <v>1066</v>
      </c>
      <c r="S629" s="32">
        <v>41.6</v>
      </c>
      <c r="T629" s="32" t="s">
        <v>608</v>
      </c>
      <c r="Z629" s="38" t="s">
        <v>262</v>
      </c>
      <c r="AA629" s="35" t="s">
        <v>2425</v>
      </c>
      <c r="AB629" s="32">
        <v>894100</v>
      </c>
      <c r="AC629" s="32" t="s">
        <v>2428</v>
      </c>
      <c r="AH629" s="59" t="s">
        <v>411</v>
      </c>
      <c r="AK629" s="40" t="s">
        <v>1067</v>
      </c>
      <c r="AL629" s="32">
        <v>2019</v>
      </c>
      <c r="AM629" s="32" t="s">
        <v>1068</v>
      </c>
      <c r="AN629" s="32" t="s">
        <v>1069</v>
      </c>
      <c r="AO629" s="38" t="s">
        <v>1070</v>
      </c>
      <c r="AP629" s="35" t="s">
        <v>396</v>
      </c>
    </row>
    <row r="630" spans="1:42" x14ac:dyDescent="0.2">
      <c r="A630" s="40">
        <v>65</v>
      </c>
      <c r="B630" s="40">
        <v>629</v>
      </c>
      <c r="C630" s="40" t="s">
        <v>249</v>
      </c>
      <c r="D630" s="38" t="s">
        <v>150</v>
      </c>
      <c r="E630" s="32" t="s">
        <v>2186</v>
      </c>
      <c r="F630" s="32" t="s">
        <v>29</v>
      </c>
      <c r="G630" s="38" t="s">
        <v>29</v>
      </c>
      <c r="H630" s="32" t="s">
        <v>242</v>
      </c>
      <c r="I630" s="32" t="s">
        <v>243</v>
      </c>
      <c r="J630" s="32" t="s">
        <v>1071</v>
      </c>
      <c r="K630" s="32" t="s">
        <v>129</v>
      </c>
      <c r="L630" s="32" t="s">
        <v>30</v>
      </c>
      <c r="M630" s="32" t="s">
        <v>30</v>
      </c>
      <c r="N630" s="40">
        <v>2004</v>
      </c>
      <c r="O630" s="32">
        <f>VLOOKUP(Data!N528, CPI!$A$2:$B$112, 2, 0)</f>
        <v>207.3</v>
      </c>
      <c r="P630" s="32" t="s">
        <v>122</v>
      </c>
      <c r="Q630" s="32" t="s">
        <v>4</v>
      </c>
      <c r="R630" s="32" t="s">
        <v>1073</v>
      </c>
      <c r="S630" s="32">
        <v>1275523</v>
      </c>
      <c r="T630" s="32" t="s">
        <v>300</v>
      </c>
      <c r="U630" s="32">
        <f>S630/AB630</f>
        <v>32.705717948717947</v>
      </c>
      <c r="V630" s="32" t="s">
        <v>316</v>
      </c>
      <c r="X630" s="32">
        <f>U630</f>
        <v>32.705717948717947</v>
      </c>
      <c r="Y630" s="32">
        <f>(CPI!$B$112/O630)*X630</f>
        <v>48.068846362913902</v>
      </c>
      <c r="Z630" s="38" t="s">
        <v>262</v>
      </c>
      <c r="AA630" s="35" t="s">
        <v>2430</v>
      </c>
      <c r="AB630" s="32">
        <v>39000</v>
      </c>
      <c r="AC630" s="32" t="s">
        <v>2431</v>
      </c>
      <c r="AH630" s="59" t="s">
        <v>411</v>
      </c>
      <c r="AJ630" s="35" t="s">
        <v>2278</v>
      </c>
      <c r="AK630" s="40" t="s">
        <v>1076</v>
      </c>
      <c r="AL630" s="32">
        <v>2012</v>
      </c>
      <c r="AM630" s="32" t="s">
        <v>1077</v>
      </c>
      <c r="AN630" s="32" t="s">
        <v>1078</v>
      </c>
      <c r="AO630" s="38" t="s">
        <v>1080</v>
      </c>
      <c r="AP630" s="35" t="s">
        <v>396</v>
      </c>
    </row>
    <row r="631" spans="1:42" x14ac:dyDescent="0.2">
      <c r="A631" s="40">
        <v>65</v>
      </c>
      <c r="B631" s="40">
        <v>630</v>
      </c>
      <c r="C631" s="40" t="s">
        <v>249</v>
      </c>
      <c r="D631" s="38" t="s">
        <v>150</v>
      </c>
      <c r="E631" s="32" t="s">
        <v>2186</v>
      </c>
      <c r="F631" s="32" t="s">
        <v>29</v>
      </c>
      <c r="G631" s="38" t="s">
        <v>29</v>
      </c>
      <c r="H631" s="32" t="s">
        <v>242</v>
      </c>
      <c r="I631" s="32" t="s">
        <v>243</v>
      </c>
      <c r="J631" s="32" t="s">
        <v>1071</v>
      </c>
      <c r="K631" s="32" t="s">
        <v>129</v>
      </c>
      <c r="L631" s="32" t="s">
        <v>30</v>
      </c>
      <c r="M631" s="32" t="s">
        <v>30</v>
      </c>
      <c r="N631" s="40">
        <v>2004</v>
      </c>
      <c r="O631" s="32">
        <f>VLOOKUP(Data!N529, CPI!$A$2:$B$112, 2, 0)</f>
        <v>207.3</v>
      </c>
      <c r="P631" s="32" t="s">
        <v>122</v>
      </c>
      <c r="Q631" s="32" t="s">
        <v>250</v>
      </c>
      <c r="R631" s="32" t="s">
        <v>1074</v>
      </c>
      <c r="S631" s="32">
        <v>4598000</v>
      </c>
      <c r="T631" s="32" t="s">
        <v>300</v>
      </c>
      <c r="U631" s="32">
        <v>4598000</v>
      </c>
      <c r="V631" s="32" t="s">
        <v>316</v>
      </c>
      <c r="X631" s="32">
        <f>U631</f>
        <v>4598000</v>
      </c>
      <c r="Y631" s="32">
        <f>(CPI!$B$112/O631)*X631</f>
        <v>6757856.712493971</v>
      </c>
      <c r="Z631" s="38" t="s">
        <v>262</v>
      </c>
      <c r="AA631" s="35" t="s">
        <v>2429</v>
      </c>
      <c r="AB631" s="32">
        <v>39000</v>
      </c>
      <c r="AC631" s="32" t="s">
        <v>2431</v>
      </c>
      <c r="AK631" s="40" t="s">
        <v>1076</v>
      </c>
      <c r="AL631" s="32">
        <v>2012</v>
      </c>
      <c r="AM631" s="32" t="s">
        <v>1077</v>
      </c>
      <c r="AN631" s="32" t="s">
        <v>1078</v>
      </c>
      <c r="AO631" s="38" t="s">
        <v>1079</v>
      </c>
      <c r="AP631" s="35" t="s">
        <v>396</v>
      </c>
    </row>
    <row r="632" spans="1:42" x14ac:dyDescent="0.2">
      <c r="A632" s="40">
        <v>65</v>
      </c>
      <c r="B632" s="40">
        <v>631</v>
      </c>
      <c r="C632" s="40" t="s">
        <v>249</v>
      </c>
      <c r="D632" s="38" t="s">
        <v>150</v>
      </c>
      <c r="E632" s="32" t="s">
        <v>2186</v>
      </c>
      <c r="F632" s="32" t="s">
        <v>29</v>
      </c>
      <c r="G632" s="38" t="s">
        <v>29</v>
      </c>
      <c r="H632" s="32" t="s">
        <v>242</v>
      </c>
      <c r="I632" s="32" t="s">
        <v>243</v>
      </c>
      <c r="J632" s="32" t="s">
        <v>1071</v>
      </c>
      <c r="K632" s="32" t="s">
        <v>129</v>
      </c>
      <c r="L632" s="32" t="s">
        <v>30</v>
      </c>
      <c r="M632" s="32" t="s">
        <v>30</v>
      </c>
      <c r="N632" s="40">
        <v>2004</v>
      </c>
      <c r="O632" s="32">
        <f>VLOOKUP(Data!N1431, CPI!$A$2:$B$112, 2, 0)</f>
        <v>109.6</v>
      </c>
      <c r="P632" s="32" t="s">
        <v>122</v>
      </c>
      <c r="Q632" s="32" t="s">
        <v>4</v>
      </c>
      <c r="R632" s="32" t="s">
        <v>1072</v>
      </c>
      <c r="S632" s="32">
        <v>43581</v>
      </c>
      <c r="T632" s="32" t="s">
        <v>1075</v>
      </c>
      <c r="Z632" s="38" t="s">
        <v>303</v>
      </c>
      <c r="AA632" s="35" t="s">
        <v>2429</v>
      </c>
      <c r="AB632" s="32">
        <v>39000</v>
      </c>
      <c r="AC632" s="32" t="s">
        <v>2431</v>
      </c>
      <c r="AH632" s="59"/>
      <c r="AK632" s="40" t="s">
        <v>1076</v>
      </c>
      <c r="AL632" s="32">
        <v>2012</v>
      </c>
      <c r="AM632" s="32" t="s">
        <v>1077</v>
      </c>
      <c r="AN632" s="32" t="s">
        <v>1078</v>
      </c>
      <c r="AO632" s="38" t="s">
        <v>1079</v>
      </c>
      <c r="AP632" s="35" t="s">
        <v>396</v>
      </c>
    </row>
    <row r="633" spans="1:42" x14ac:dyDescent="0.2">
      <c r="A633" s="40">
        <v>66</v>
      </c>
      <c r="B633" s="40">
        <v>632</v>
      </c>
      <c r="C633" s="40" t="s">
        <v>119</v>
      </c>
      <c r="D633" s="38" t="s">
        <v>128</v>
      </c>
      <c r="E633" s="32" t="s">
        <v>2183</v>
      </c>
      <c r="F633" s="32" t="s">
        <v>244</v>
      </c>
      <c r="G633" s="38" t="s">
        <v>2908</v>
      </c>
      <c r="H633" s="32" t="s">
        <v>242</v>
      </c>
      <c r="I633" s="32" t="s">
        <v>243</v>
      </c>
      <c r="J633" s="32" t="s">
        <v>1081</v>
      </c>
      <c r="K633" s="32" t="s">
        <v>129</v>
      </c>
      <c r="L633" s="32" t="s">
        <v>1082</v>
      </c>
      <c r="M633" s="32" t="s">
        <v>1083</v>
      </c>
      <c r="N633" s="40">
        <v>2022</v>
      </c>
      <c r="O633" s="32">
        <f>VLOOKUP(Data!N530, CPI!$A$2:$B$112, 2, 0)</f>
        <v>207.3</v>
      </c>
      <c r="P633" s="32" t="s">
        <v>132</v>
      </c>
      <c r="Q633" s="32" t="s">
        <v>239</v>
      </c>
      <c r="R633" s="32" t="s">
        <v>1084</v>
      </c>
      <c r="S633" s="32">
        <v>650000</v>
      </c>
      <c r="T633" s="32" t="s">
        <v>300</v>
      </c>
      <c r="U633" s="32">
        <f t="shared" ref="U633:U668" si="39">S633/AB633</f>
        <v>24.642681123706261</v>
      </c>
      <c r="V633" s="32" t="s">
        <v>316</v>
      </c>
      <c r="X633" s="32">
        <f t="shared" ref="X633:X664" si="40">U633</f>
        <v>24.642681123706261</v>
      </c>
      <c r="Y633" s="32">
        <f>(CPI!$B$112/O633)*X633</f>
        <v>36.218292310936675</v>
      </c>
      <c r="Z633" s="38" t="s">
        <v>262</v>
      </c>
      <c r="AA633" s="35" t="s">
        <v>1399</v>
      </c>
      <c r="AB633" s="32">
        <v>26377</v>
      </c>
      <c r="AC633" s="32" t="s">
        <v>1447</v>
      </c>
      <c r="AH633" s="32" t="s">
        <v>411</v>
      </c>
      <c r="AJ633" s="35" t="s">
        <v>2278</v>
      </c>
      <c r="AK633" s="40" t="s">
        <v>1103</v>
      </c>
      <c r="AL633" s="32">
        <v>2022</v>
      </c>
      <c r="AM633" s="32" t="s">
        <v>1104</v>
      </c>
      <c r="AN633" s="32" t="s">
        <v>1105</v>
      </c>
      <c r="AO633" s="38" t="s">
        <v>1106</v>
      </c>
      <c r="AP633" s="35" t="s">
        <v>396</v>
      </c>
    </row>
    <row r="634" spans="1:42" x14ac:dyDescent="0.2">
      <c r="A634" s="40">
        <v>66</v>
      </c>
      <c r="B634" s="40">
        <v>633</v>
      </c>
      <c r="C634" s="40" t="s">
        <v>119</v>
      </c>
      <c r="D634" s="38" t="s">
        <v>128</v>
      </c>
      <c r="E634" s="32" t="s">
        <v>2183</v>
      </c>
      <c r="F634" s="32" t="s">
        <v>237</v>
      </c>
      <c r="G634" s="36" t="s">
        <v>2907</v>
      </c>
      <c r="H634" s="32" t="s">
        <v>242</v>
      </c>
      <c r="I634" s="32" t="s">
        <v>243</v>
      </c>
      <c r="J634" s="32" t="s">
        <v>1081</v>
      </c>
      <c r="K634" s="32" t="s">
        <v>129</v>
      </c>
      <c r="L634" s="32" t="s">
        <v>1082</v>
      </c>
      <c r="M634" s="32" t="s">
        <v>1083</v>
      </c>
      <c r="N634" s="40">
        <v>2022</v>
      </c>
      <c r="O634" s="32">
        <f>VLOOKUP(Data!N531, CPI!$A$2:$B$112, 2, 0)</f>
        <v>207.3</v>
      </c>
      <c r="P634" s="32" t="s">
        <v>132</v>
      </c>
      <c r="Q634" s="32" t="s">
        <v>239</v>
      </c>
      <c r="R634" s="32" t="s">
        <v>1085</v>
      </c>
      <c r="S634" s="32">
        <v>33230000</v>
      </c>
      <c r="T634" s="32" t="s">
        <v>300</v>
      </c>
      <c r="U634" s="32">
        <f t="shared" si="39"/>
        <v>1259.8096826780907</v>
      </c>
      <c r="V634" s="32" t="s">
        <v>316</v>
      </c>
      <c r="X634" s="32">
        <f t="shared" si="40"/>
        <v>1259.8096826780907</v>
      </c>
      <c r="Y634" s="32">
        <f>(CPI!$B$112/O634)*X634</f>
        <v>1851.5905438345007</v>
      </c>
      <c r="Z634" s="38" t="s">
        <v>262</v>
      </c>
      <c r="AA634" s="35" t="s">
        <v>1399</v>
      </c>
      <c r="AB634" s="32">
        <v>26377</v>
      </c>
      <c r="AC634" s="32" t="s">
        <v>1447</v>
      </c>
      <c r="AH634" s="32" t="s">
        <v>411</v>
      </c>
      <c r="AJ634" s="35" t="s">
        <v>2278</v>
      </c>
      <c r="AK634" s="40" t="s">
        <v>1103</v>
      </c>
      <c r="AL634" s="32">
        <v>2022</v>
      </c>
      <c r="AM634" s="32" t="s">
        <v>1104</v>
      </c>
      <c r="AN634" s="32" t="s">
        <v>1105</v>
      </c>
      <c r="AO634" s="38" t="s">
        <v>1106</v>
      </c>
      <c r="AP634" s="35" t="s">
        <v>396</v>
      </c>
    </row>
    <row r="635" spans="1:42" x14ac:dyDescent="0.2">
      <c r="A635" s="40">
        <v>66</v>
      </c>
      <c r="B635" s="40">
        <v>634</v>
      </c>
      <c r="C635" s="40" t="s">
        <v>119</v>
      </c>
      <c r="D635" s="38" t="s">
        <v>128</v>
      </c>
      <c r="E635" s="32" t="s">
        <v>2183</v>
      </c>
      <c r="F635" s="32" t="s">
        <v>126</v>
      </c>
      <c r="G635" s="54" t="s">
        <v>2909</v>
      </c>
      <c r="H635" s="32" t="s">
        <v>242</v>
      </c>
      <c r="I635" s="32" t="s">
        <v>243</v>
      </c>
      <c r="J635" s="32" t="s">
        <v>1081</v>
      </c>
      <c r="K635" s="32" t="s">
        <v>129</v>
      </c>
      <c r="L635" s="32" t="s">
        <v>1082</v>
      </c>
      <c r="M635" s="32" t="s">
        <v>1083</v>
      </c>
      <c r="N635" s="40">
        <v>2022</v>
      </c>
      <c r="O635" s="32">
        <f>VLOOKUP(Data!N532, CPI!$A$2:$B$112, 2, 0)</f>
        <v>207.3</v>
      </c>
      <c r="P635" s="32" t="s">
        <v>132</v>
      </c>
      <c r="Q635" s="32" t="s">
        <v>239</v>
      </c>
      <c r="R635" s="32" t="s">
        <v>1086</v>
      </c>
      <c r="S635" s="32">
        <v>3440000</v>
      </c>
      <c r="T635" s="32" t="s">
        <v>300</v>
      </c>
      <c r="U635" s="32">
        <f t="shared" si="39"/>
        <v>130.41665087007621</v>
      </c>
      <c r="V635" s="32" t="s">
        <v>316</v>
      </c>
      <c r="X635" s="32">
        <f t="shared" si="40"/>
        <v>130.41665087007621</v>
      </c>
      <c r="Y635" s="32">
        <f>(CPI!$B$112/O635)*X635</f>
        <v>191.67834699941869</v>
      </c>
      <c r="Z635" s="38" t="s">
        <v>262</v>
      </c>
      <c r="AA635" s="35" t="s">
        <v>1399</v>
      </c>
      <c r="AB635" s="32">
        <v>26377</v>
      </c>
      <c r="AC635" s="32" t="s">
        <v>1447</v>
      </c>
      <c r="AH635" s="32" t="s">
        <v>411</v>
      </c>
      <c r="AJ635" s="35" t="s">
        <v>2278</v>
      </c>
      <c r="AK635" s="40" t="s">
        <v>1103</v>
      </c>
      <c r="AL635" s="32">
        <v>2022</v>
      </c>
      <c r="AM635" s="32" t="s">
        <v>1104</v>
      </c>
      <c r="AN635" s="32" t="s">
        <v>1105</v>
      </c>
      <c r="AO635" s="38" t="s">
        <v>1106</v>
      </c>
      <c r="AP635" s="35" t="s">
        <v>396</v>
      </c>
    </row>
    <row r="636" spans="1:42" x14ac:dyDescent="0.2">
      <c r="A636" s="40">
        <v>66</v>
      </c>
      <c r="B636" s="40">
        <v>635</v>
      </c>
      <c r="C636" s="40" t="s">
        <v>119</v>
      </c>
      <c r="D636" s="38" t="s">
        <v>128</v>
      </c>
      <c r="E636" s="32" t="s">
        <v>2183</v>
      </c>
      <c r="F636" s="32" t="s">
        <v>48</v>
      </c>
      <c r="G636" s="38" t="s">
        <v>2913</v>
      </c>
      <c r="H636" s="32" t="s">
        <v>242</v>
      </c>
      <c r="I636" s="32" t="s">
        <v>243</v>
      </c>
      <c r="J636" s="32" t="s">
        <v>1081</v>
      </c>
      <c r="K636" s="32" t="s">
        <v>129</v>
      </c>
      <c r="L636" s="32" t="s">
        <v>1082</v>
      </c>
      <c r="M636" s="32" t="s">
        <v>1083</v>
      </c>
      <c r="N636" s="40">
        <v>2022</v>
      </c>
      <c r="O636" s="32">
        <f>VLOOKUP(Data!N533, CPI!$A$2:$B$112, 2, 0)</f>
        <v>207.3</v>
      </c>
      <c r="P636" s="32" t="s">
        <v>132</v>
      </c>
      <c r="Q636" s="32" t="s">
        <v>239</v>
      </c>
      <c r="R636" s="32" t="s">
        <v>1087</v>
      </c>
      <c r="S636" s="32">
        <v>2750000</v>
      </c>
      <c r="T636" s="32" t="s">
        <v>300</v>
      </c>
      <c r="U636" s="32">
        <f t="shared" si="39"/>
        <v>104.25749706183417</v>
      </c>
      <c r="V636" s="32" t="s">
        <v>316</v>
      </c>
      <c r="X636" s="32">
        <f t="shared" si="40"/>
        <v>104.25749706183417</v>
      </c>
      <c r="Y636" s="32">
        <f>(CPI!$B$112/O636)*X636</f>
        <v>153.23123670011668</v>
      </c>
      <c r="Z636" s="38" t="s">
        <v>262</v>
      </c>
      <c r="AA636" s="35" t="s">
        <v>1399</v>
      </c>
      <c r="AB636" s="32">
        <v>26377</v>
      </c>
      <c r="AC636" s="32" t="s">
        <v>1447</v>
      </c>
      <c r="AH636" s="32" t="s">
        <v>411</v>
      </c>
      <c r="AJ636" s="35" t="s">
        <v>2278</v>
      </c>
      <c r="AK636" s="40" t="s">
        <v>1103</v>
      </c>
      <c r="AL636" s="32">
        <v>2022</v>
      </c>
      <c r="AM636" s="32" t="s">
        <v>1104</v>
      </c>
      <c r="AN636" s="32" t="s">
        <v>1105</v>
      </c>
      <c r="AO636" s="38" t="s">
        <v>1106</v>
      </c>
      <c r="AP636" s="35" t="s">
        <v>396</v>
      </c>
    </row>
    <row r="637" spans="1:42" x14ac:dyDescent="0.2">
      <c r="A637" s="40">
        <v>66</v>
      </c>
      <c r="B637" s="40">
        <v>636</v>
      </c>
      <c r="C637" s="40" t="s">
        <v>119</v>
      </c>
      <c r="D637" s="38" t="s">
        <v>128</v>
      </c>
      <c r="E637" s="32" t="s">
        <v>2183</v>
      </c>
      <c r="F637" s="32" t="s">
        <v>244</v>
      </c>
      <c r="G637" s="38" t="s">
        <v>1102</v>
      </c>
      <c r="H637" s="32" t="s">
        <v>242</v>
      </c>
      <c r="I637" s="32" t="s">
        <v>243</v>
      </c>
      <c r="J637" s="32" t="s">
        <v>1081</v>
      </c>
      <c r="K637" s="32" t="s">
        <v>129</v>
      </c>
      <c r="L637" s="32" t="s">
        <v>1082</v>
      </c>
      <c r="M637" s="32" t="s">
        <v>1083</v>
      </c>
      <c r="N637" s="40">
        <v>2022</v>
      </c>
      <c r="O637" s="32">
        <f>VLOOKUP(Data!N534, CPI!$A$2:$B$112, 2, 0)</f>
        <v>207.3</v>
      </c>
      <c r="P637" s="32" t="s">
        <v>132</v>
      </c>
      <c r="Q637" s="32" t="s">
        <v>239</v>
      </c>
      <c r="R637" s="32" t="s">
        <v>1088</v>
      </c>
      <c r="S637" s="32">
        <v>870000</v>
      </c>
      <c r="T637" s="32" t="s">
        <v>300</v>
      </c>
      <c r="U637" s="32">
        <f t="shared" si="39"/>
        <v>32.983280888652992</v>
      </c>
      <c r="V637" s="32" t="s">
        <v>316</v>
      </c>
      <c r="X637" s="32">
        <f t="shared" si="40"/>
        <v>32.983280888652992</v>
      </c>
      <c r="Y637" s="32">
        <f>(CPI!$B$112/O637)*X637</f>
        <v>48.476791246946</v>
      </c>
      <c r="Z637" s="38" t="s">
        <v>262</v>
      </c>
      <c r="AA637" s="35" t="s">
        <v>1399</v>
      </c>
      <c r="AB637" s="32">
        <v>26377</v>
      </c>
      <c r="AC637" s="32" t="s">
        <v>1447</v>
      </c>
      <c r="AH637" s="32" t="s">
        <v>411</v>
      </c>
      <c r="AJ637" s="35" t="s">
        <v>2278</v>
      </c>
      <c r="AK637" s="40" t="s">
        <v>1103</v>
      </c>
      <c r="AL637" s="32">
        <v>2022</v>
      </c>
      <c r="AM637" s="32" t="s">
        <v>1104</v>
      </c>
      <c r="AN637" s="32" t="s">
        <v>1105</v>
      </c>
      <c r="AO637" s="38" t="s">
        <v>1106</v>
      </c>
      <c r="AP637" s="35" t="s">
        <v>396</v>
      </c>
    </row>
    <row r="638" spans="1:42" x14ac:dyDescent="0.2">
      <c r="A638" s="40">
        <v>66</v>
      </c>
      <c r="B638" s="40">
        <v>637</v>
      </c>
      <c r="C638" s="40" t="s">
        <v>119</v>
      </c>
      <c r="D638" s="38" t="s">
        <v>128</v>
      </c>
      <c r="E638" s="32" t="s">
        <v>2183</v>
      </c>
      <c r="F638" s="32" t="s">
        <v>244</v>
      </c>
      <c r="G638" s="38" t="s">
        <v>162</v>
      </c>
      <c r="H638" s="32" t="s">
        <v>242</v>
      </c>
      <c r="I638" s="32" t="s">
        <v>243</v>
      </c>
      <c r="J638" s="32" t="s">
        <v>1081</v>
      </c>
      <c r="K638" s="32" t="s">
        <v>129</v>
      </c>
      <c r="L638" s="32" t="s">
        <v>1082</v>
      </c>
      <c r="M638" s="32" t="s">
        <v>1083</v>
      </c>
      <c r="N638" s="40">
        <v>2022</v>
      </c>
      <c r="O638" s="32">
        <f>VLOOKUP(Data!N535, CPI!$A$2:$B$112, 2, 0)</f>
        <v>214.53700000000001</v>
      </c>
      <c r="P638" s="32" t="s">
        <v>132</v>
      </c>
      <c r="Q638" s="32" t="s">
        <v>239</v>
      </c>
      <c r="R638" s="32" t="s">
        <v>1089</v>
      </c>
      <c r="S638" s="32">
        <v>14040000</v>
      </c>
      <c r="T638" s="32" t="s">
        <v>300</v>
      </c>
      <c r="U638" s="32">
        <f t="shared" si="39"/>
        <v>532.28191227205525</v>
      </c>
      <c r="V638" s="32" t="s">
        <v>316</v>
      </c>
      <c r="X638" s="32">
        <f t="shared" si="40"/>
        <v>532.28191227205525</v>
      </c>
      <c r="Y638" s="32">
        <f>(CPI!$B$112/O638)*X638</f>
        <v>755.92519292632471</v>
      </c>
      <c r="Z638" s="38" t="s">
        <v>262</v>
      </c>
      <c r="AA638" s="35" t="s">
        <v>1399</v>
      </c>
      <c r="AB638" s="32">
        <v>26377</v>
      </c>
      <c r="AC638" s="32" t="s">
        <v>1447</v>
      </c>
      <c r="AH638" s="32" t="s">
        <v>411</v>
      </c>
      <c r="AJ638" s="35" t="s">
        <v>2278</v>
      </c>
      <c r="AK638" s="40" t="s">
        <v>1103</v>
      </c>
      <c r="AL638" s="32">
        <v>2022</v>
      </c>
      <c r="AM638" s="32" t="s">
        <v>1104</v>
      </c>
      <c r="AN638" s="32" t="s">
        <v>1105</v>
      </c>
      <c r="AO638" s="38" t="s">
        <v>1106</v>
      </c>
      <c r="AP638" s="35" t="s">
        <v>396</v>
      </c>
    </row>
    <row r="639" spans="1:42" x14ac:dyDescent="0.2">
      <c r="A639" s="40">
        <v>66</v>
      </c>
      <c r="B639" s="40">
        <v>638</v>
      </c>
      <c r="C639" s="40" t="s">
        <v>119</v>
      </c>
      <c r="D639" s="38" t="s">
        <v>128</v>
      </c>
      <c r="E639" s="32" t="s">
        <v>2184</v>
      </c>
      <c r="F639" s="32" t="s">
        <v>145</v>
      </c>
      <c r="G639" s="38" t="s">
        <v>146</v>
      </c>
      <c r="H639" s="32" t="s">
        <v>242</v>
      </c>
      <c r="I639" s="32" t="s">
        <v>243</v>
      </c>
      <c r="J639" s="32" t="s">
        <v>1081</v>
      </c>
      <c r="K639" s="32" t="s">
        <v>129</v>
      </c>
      <c r="L639" s="32" t="s">
        <v>1082</v>
      </c>
      <c r="M639" s="32" t="s">
        <v>1083</v>
      </c>
      <c r="N639" s="40">
        <v>2022</v>
      </c>
      <c r="O639" s="32">
        <f>VLOOKUP(Data!N536, CPI!$A$2:$B$112, 2, 0)</f>
        <v>240.00700000000001</v>
      </c>
      <c r="P639" s="32" t="s">
        <v>132</v>
      </c>
      <c r="Q639" s="32" t="s">
        <v>239</v>
      </c>
      <c r="R639" s="32" t="s">
        <v>1090</v>
      </c>
      <c r="S639" s="32">
        <v>18060000</v>
      </c>
      <c r="T639" s="32" t="s">
        <v>300</v>
      </c>
      <c r="U639" s="32">
        <f t="shared" si="39"/>
        <v>684.68741706790001</v>
      </c>
      <c r="V639" s="32" t="s">
        <v>316</v>
      </c>
      <c r="X639" s="32">
        <f t="shared" si="40"/>
        <v>684.68741706790001</v>
      </c>
      <c r="Y639" s="32">
        <f>(CPI!$B$112/O639)*X639</f>
        <v>869.17605319070822</v>
      </c>
      <c r="Z639" s="38" t="s">
        <v>262</v>
      </c>
      <c r="AA639" s="35" t="s">
        <v>1399</v>
      </c>
      <c r="AB639" s="32">
        <v>26377</v>
      </c>
      <c r="AC639" s="32" t="s">
        <v>1447</v>
      </c>
      <c r="AH639" s="32" t="s">
        <v>411</v>
      </c>
      <c r="AJ639" s="35" t="s">
        <v>2278</v>
      </c>
      <c r="AK639" s="40" t="s">
        <v>1103</v>
      </c>
      <c r="AL639" s="32">
        <v>2022</v>
      </c>
      <c r="AM639" s="32" t="s">
        <v>1104</v>
      </c>
      <c r="AN639" s="32" t="s">
        <v>1105</v>
      </c>
      <c r="AO639" s="38" t="s">
        <v>1106</v>
      </c>
      <c r="AP639" s="35" t="s">
        <v>396</v>
      </c>
    </row>
    <row r="640" spans="1:42" x14ac:dyDescent="0.2">
      <c r="A640" s="40">
        <v>66</v>
      </c>
      <c r="B640" s="40">
        <v>639</v>
      </c>
      <c r="C640" s="40" t="s">
        <v>119</v>
      </c>
      <c r="D640" s="38" t="s">
        <v>128</v>
      </c>
      <c r="E640" s="32" t="s">
        <v>2184</v>
      </c>
      <c r="F640" s="32" t="s">
        <v>131</v>
      </c>
      <c r="G640" s="38" t="s">
        <v>2920</v>
      </c>
      <c r="H640" s="32" t="s">
        <v>242</v>
      </c>
      <c r="I640" s="32" t="s">
        <v>243</v>
      </c>
      <c r="J640" s="32" t="s">
        <v>1081</v>
      </c>
      <c r="K640" s="32" t="s">
        <v>129</v>
      </c>
      <c r="L640" s="32" t="s">
        <v>1082</v>
      </c>
      <c r="M640" s="32" t="s">
        <v>1083</v>
      </c>
      <c r="N640" s="40">
        <v>2022</v>
      </c>
      <c r="O640" s="32">
        <f>VLOOKUP(Data!N537, CPI!$A$2:$B$113, 2, 0)</f>
        <v>333.39749999999998</v>
      </c>
      <c r="P640" s="32" t="s">
        <v>132</v>
      </c>
      <c r="Q640" s="32" t="s">
        <v>239</v>
      </c>
      <c r="R640" s="32" t="s">
        <v>1091</v>
      </c>
      <c r="S640" s="32">
        <v>14950000</v>
      </c>
      <c r="T640" s="32" t="s">
        <v>300</v>
      </c>
      <c r="U640" s="32">
        <f t="shared" si="39"/>
        <v>566.78166584524399</v>
      </c>
      <c r="V640" s="32" t="s">
        <v>316</v>
      </c>
      <c r="X640" s="32">
        <f t="shared" si="40"/>
        <v>566.78166584524399</v>
      </c>
      <c r="Y640" s="32">
        <f>(CPI!$B$112/O640)*X640</f>
        <v>517.95588122080994</v>
      </c>
      <c r="Z640" s="38" t="s">
        <v>262</v>
      </c>
      <c r="AA640" s="35" t="s">
        <v>1399</v>
      </c>
      <c r="AB640" s="32">
        <v>26377</v>
      </c>
      <c r="AC640" s="32" t="s">
        <v>1447</v>
      </c>
      <c r="AH640" s="32" t="s">
        <v>411</v>
      </c>
      <c r="AJ640" s="35" t="s">
        <v>2278</v>
      </c>
      <c r="AK640" s="40" t="s">
        <v>1103</v>
      </c>
      <c r="AL640" s="32">
        <v>2022</v>
      </c>
      <c r="AM640" s="32" t="s">
        <v>1104</v>
      </c>
      <c r="AN640" s="32" t="s">
        <v>1105</v>
      </c>
      <c r="AO640" s="38" t="s">
        <v>1106</v>
      </c>
      <c r="AP640" s="35" t="s">
        <v>396</v>
      </c>
    </row>
    <row r="641" spans="1:42" x14ac:dyDescent="0.2">
      <c r="A641" s="40">
        <v>66</v>
      </c>
      <c r="B641" s="40">
        <v>640</v>
      </c>
      <c r="C641" s="40" t="s">
        <v>119</v>
      </c>
      <c r="D641" s="38" t="s">
        <v>128</v>
      </c>
      <c r="E641" s="32" t="s">
        <v>2184</v>
      </c>
      <c r="F641" s="32" t="s">
        <v>36</v>
      </c>
      <c r="G641" s="54" t="s">
        <v>2934</v>
      </c>
      <c r="H641" s="32" t="s">
        <v>242</v>
      </c>
      <c r="I641" s="32" t="s">
        <v>243</v>
      </c>
      <c r="J641" s="32" t="s">
        <v>1081</v>
      </c>
      <c r="K641" s="32" t="s">
        <v>129</v>
      </c>
      <c r="L641" s="32" t="s">
        <v>1082</v>
      </c>
      <c r="M641" s="32" t="s">
        <v>1083</v>
      </c>
      <c r="N641" s="40">
        <v>2022</v>
      </c>
      <c r="O641" s="32">
        <f>VLOOKUP(Data!N538, CPI!$A$2:$B$113, 2, 0)</f>
        <v>333.39749999999998</v>
      </c>
      <c r="P641" s="32" t="s">
        <v>132</v>
      </c>
      <c r="Q641" s="32" t="s">
        <v>239</v>
      </c>
      <c r="R641" s="32" t="s">
        <v>1092</v>
      </c>
      <c r="S641" s="32">
        <v>4430000</v>
      </c>
      <c r="T641" s="32" t="s">
        <v>300</v>
      </c>
      <c r="U641" s="32">
        <f t="shared" si="39"/>
        <v>167.94934981233649</v>
      </c>
      <c r="V641" s="32" t="s">
        <v>316</v>
      </c>
      <c r="X641" s="32">
        <f t="shared" si="40"/>
        <v>167.94934981233649</v>
      </c>
      <c r="Y641" s="32">
        <f>(CPI!$B$112/O641)*X641</f>
        <v>153.48124105740385</v>
      </c>
      <c r="Z641" s="38" t="s">
        <v>262</v>
      </c>
      <c r="AA641" s="35" t="s">
        <v>1399</v>
      </c>
      <c r="AB641" s="32">
        <v>26377</v>
      </c>
      <c r="AC641" s="32" t="s">
        <v>1447</v>
      </c>
      <c r="AH641" s="32" t="s">
        <v>411</v>
      </c>
      <c r="AJ641" s="35" t="s">
        <v>2278</v>
      </c>
      <c r="AK641" s="40" t="s">
        <v>1103</v>
      </c>
      <c r="AL641" s="32">
        <v>2022</v>
      </c>
      <c r="AM641" s="32" t="s">
        <v>1104</v>
      </c>
      <c r="AN641" s="32" t="s">
        <v>1105</v>
      </c>
      <c r="AO641" s="38" t="s">
        <v>1106</v>
      </c>
      <c r="AP641" s="35" t="s">
        <v>396</v>
      </c>
    </row>
    <row r="642" spans="1:42" x14ac:dyDescent="0.2">
      <c r="A642" s="40">
        <v>66</v>
      </c>
      <c r="B642" s="40">
        <v>641</v>
      </c>
      <c r="C642" s="40" t="s">
        <v>119</v>
      </c>
      <c r="D642" s="38" t="s">
        <v>128</v>
      </c>
      <c r="E642" s="32" t="s">
        <v>2184</v>
      </c>
      <c r="F642" s="32" t="s">
        <v>131</v>
      </c>
      <c r="G642" s="54" t="s">
        <v>64</v>
      </c>
      <c r="H642" s="32" t="s">
        <v>242</v>
      </c>
      <c r="I642" s="32" t="s">
        <v>243</v>
      </c>
      <c r="J642" s="32" t="s">
        <v>1081</v>
      </c>
      <c r="K642" s="32" t="s">
        <v>129</v>
      </c>
      <c r="L642" s="32" t="s">
        <v>1082</v>
      </c>
      <c r="M642" s="32" t="s">
        <v>1083</v>
      </c>
      <c r="N642" s="40">
        <v>2022</v>
      </c>
      <c r="O642" s="32">
        <f>VLOOKUP(Data!N539, CPI!$A$2:$B$112, 2, 0)</f>
        <v>240.00700000000001</v>
      </c>
      <c r="P642" s="32" t="s">
        <v>132</v>
      </c>
      <c r="Q642" s="32" t="s">
        <v>239</v>
      </c>
      <c r="R642" s="32" t="s">
        <v>1093</v>
      </c>
      <c r="S642" s="32">
        <v>1310000</v>
      </c>
      <c r="T642" s="32" t="s">
        <v>300</v>
      </c>
      <c r="U642" s="32">
        <f t="shared" si="39"/>
        <v>49.664480418546461</v>
      </c>
      <c r="V642" s="32" t="s">
        <v>316</v>
      </c>
      <c r="X642" s="32">
        <f t="shared" si="40"/>
        <v>49.664480418546461</v>
      </c>
      <c r="Y642" s="32">
        <f>(CPI!$B$112/O642)*X642</f>
        <v>63.046546493899662</v>
      </c>
      <c r="Z642" s="38" t="s">
        <v>262</v>
      </c>
      <c r="AA642" s="35" t="s">
        <v>1399</v>
      </c>
      <c r="AB642" s="32">
        <v>26377</v>
      </c>
      <c r="AC642" s="32" t="s">
        <v>1447</v>
      </c>
      <c r="AH642" s="32" t="s">
        <v>411</v>
      </c>
      <c r="AJ642" s="35" t="s">
        <v>2278</v>
      </c>
      <c r="AK642" s="40" t="s">
        <v>1103</v>
      </c>
      <c r="AL642" s="32">
        <v>2022</v>
      </c>
      <c r="AM642" s="32" t="s">
        <v>1104</v>
      </c>
      <c r="AN642" s="32" t="s">
        <v>1105</v>
      </c>
      <c r="AO642" s="38" t="s">
        <v>1106</v>
      </c>
      <c r="AP642" s="35" t="s">
        <v>396</v>
      </c>
    </row>
    <row r="643" spans="1:42" x14ac:dyDescent="0.2">
      <c r="A643" s="40">
        <v>66</v>
      </c>
      <c r="B643" s="40">
        <v>642</v>
      </c>
      <c r="C643" s="40" t="s">
        <v>119</v>
      </c>
      <c r="D643" s="38" t="s">
        <v>128</v>
      </c>
      <c r="E643" s="32" t="s">
        <v>2186</v>
      </c>
      <c r="F643" s="32" t="s">
        <v>21</v>
      </c>
      <c r="G643" s="38" t="s">
        <v>163</v>
      </c>
      <c r="H643" s="32" t="s">
        <v>242</v>
      </c>
      <c r="I643" s="32" t="s">
        <v>243</v>
      </c>
      <c r="J643" s="32" t="s">
        <v>1081</v>
      </c>
      <c r="K643" s="32" t="s">
        <v>129</v>
      </c>
      <c r="L643" s="32" t="s">
        <v>1082</v>
      </c>
      <c r="M643" s="32" t="s">
        <v>1083</v>
      </c>
      <c r="N643" s="40">
        <v>2022</v>
      </c>
      <c r="O643" s="32">
        <f>VLOOKUP(Data!N540, CPI!$A$2:$B$112, 2, 0)</f>
        <v>215.303</v>
      </c>
      <c r="P643" s="32" t="s">
        <v>132</v>
      </c>
      <c r="Q643" s="32" t="s">
        <v>239</v>
      </c>
      <c r="R643" s="32" t="s">
        <v>1094</v>
      </c>
      <c r="S643" s="32">
        <v>340000</v>
      </c>
      <c r="T643" s="32" t="s">
        <v>300</v>
      </c>
      <c r="U643" s="32">
        <f t="shared" si="39"/>
        <v>12.890017818554043</v>
      </c>
      <c r="V643" s="32" t="s">
        <v>316</v>
      </c>
      <c r="X643" s="32">
        <f t="shared" si="40"/>
        <v>12.890017818554043</v>
      </c>
      <c r="Y643" s="32">
        <f>(CPI!$B$112/O643)*X643</f>
        <v>18.240752504141305</v>
      </c>
      <c r="Z643" s="38" t="s">
        <v>262</v>
      </c>
      <c r="AA643" s="35" t="s">
        <v>1399</v>
      </c>
      <c r="AB643" s="32">
        <v>26377</v>
      </c>
      <c r="AC643" s="32" t="s">
        <v>1447</v>
      </c>
      <c r="AH643" s="32" t="s">
        <v>411</v>
      </c>
      <c r="AJ643" s="35" t="s">
        <v>2278</v>
      </c>
      <c r="AK643" s="40" t="s">
        <v>1103</v>
      </c>
      <c r="AL643" s="32">
        <v>2022</v>
      </c>
      <c r="AM643" s="32" t="s">
        <v>1104</v>
      </c>
      <c r="AN643" s="32" t="s">
        <v>1105</v>
      </c>
      <c r="AO643" s="38" t="s">
        <v>1106</v>
      </c>
      <c r="AP643" s="35" t="s">
        <v>396</v>
      </c>
    </row>
    <row r="644" spans="1:42" x14ac:dyDescent="0.2">
      <c r="A644" s="40">
        <v>66</v>
      </c>
      <c r="B644" s="40">
        <v>643</v>
      </c>
      <c r="C644" s="40" t="s">
        <v>119</v>
      </c>
      <c r="D644" s="38" t="s">
        <v>128</v>
      </c>
      <c r="E644" s="32" t="s">
        <v>2184</v>
      </c>
      <c r="F644" s="32" t="s">
        <v>43</v>
      </c>
      <c r="G644" s="38" t="s">
        <v>44</v>
      </c>
      <c r="H644" s="32" t="s">
        <v>242</v>
      </c>
      <c r="I644" s="32" t="s">
        <v>243</v>
      </c>
      <c r="J644" s="32" t="s">
        <v>1081</v>
      </c>
      <c r="K644" s="32" t="s">
        <v>129</v>
      </c>
      <c r="L644" s="32" t="s">
        <v>1082</v>
      </c>
      <c r="M644" s="32" t="s">
        <v>1083</v>
      </c>
      <c r="N644" s="40">
        <v>2022</v>
      </c>
      <c r="O644" s="32">
        <f>VLOOKUP(Data!N541, CPI!$A$2:$B$112, 2, 0)</f>
        <v>215.303</v>
      </c>
      <c r="P644" s="32" t="s">
        <v>132</v>
      </c>
      <c r="Q644" s="32" t="s">
        <v>239</v>
      </c>
      <c r="R644" s="32" t="s">
        <v>1095</v>
      </c>
      <c r="S644" s="32">
        <v>12360000</v>
      </c>
      <c r="T644" s="32" t="s">
        <v>300</v>
      </c>
      <c r="U644" s="32">
        <f t="shared" si="39"/>
        <v>468.59005952155286</v>
      </c>
      <c r="V644" s="32" t="s">
        <v>316</v>
      </c>
      <c r="X644" s="32">
        <f t="shared" si="40"/>
        <v>468.59005952155286</v>
      </c>
      <c r="Y644" s="32">
        <f>(CPI!$B$112/O644)*X644</f>
        <v>663.10500279760754</v>
      </c>
      <c r="Z644" s="38" t="s">
        <v>262</v>
      </c>
      <c r="AA644" s="35" t="s">
        <v>1399</v>
      </c>
      <c r="AB644" s="32">
        <v>26377</v>
      </c>
      <c r="AC644" s="32" t="s">
        <v>1447</v>
      </c>
      <c r="AH644" s="32" t="s">
        <v>411</v>
      </c>
      <c r="AJ644" s="35" t="s">
        <v>2278</v>
      </c>
      <c r="AK644" s="40" t="s">
        <v>1103</v>
      </c>
      <c r="AL644" s="32">
        <v>2022</v>
      </c>
      <c r="AM644" s="32" t="s">
        <v>1104</v>
      </c>
      <c r="AN644" s="32" t="s">
        <v>1105</v>
      </c>
      <c r="AO644" s="38" t="s">
        <v>1106</v>
      </c>
      <c r="AP644" s="35" t="s">
        <v>396</v>
      </c>
    </row>
    <row r="645" spans="1:42" x14ac:dyDescent="0.2">
      <c r="A645" s="40">
        <v>66</v>
      </c>
      <c r="B645" s="40">
        <v>644</v>
      </c>
      <c r="C645" s="40" t="s">
        <v>119</v>
      </c>
      <c r="D645" s="38" t="s">
        <v>128</v>
      </c>
      <c r="E645" s="32" t="s">
        <v>2184</v>
      </c>
      <c r="F645" s="32" t="s">
        <v>47</v>
      </c>
      <c r="G645" s="54" t="s">
        <v>2932</v>
      </c>
      <c r="H645" s="32" t="s">
        <v>242</v>
      </c>
      <c r="I645" s="32" t="s">
        <v>243</v>
      </c>
      <c r="J645" s="32" t="s">
        <v>1081</v>
      </c>
      <c r="K645" s="32" t="s">
        <v>129</v>
      </c>
      <c r="L645" s="32" t="s">
        <v>1082</v>
      </c>
      <c r="M645" s="32" t="s">
        <v>1083</v>
      </c>
      <c r="N645" s="40">
        <v>2022</v>
      </c>
      <c r="O645" s="32">
        <f>VLOOKUP(Data!N542, CPI!$A$2:$B$112, 2, 0)</f>
        <v>215.303</v>
      </c>
      <c r="P645" s="32" t="s">
        <v>132</v>
      </c>
      <c r="Q645" s="32" t="s">
        <v>239</v>
      </c>
      <c r="R645" s="32" t="s">
        <v>1096</v>
      </c>
      <c r="S645" s="32">
        <v>3720000</v>
      </c>
      <c r="T645" s="32" t="s">
        <v>300</v>
      </c>
      <c r="U645" s="32">
        <f t="shared" si="39"/>
        <v>141.03195966182659</v>
      </c>
      <c r="V645" s="32" t="s">
        <v>316</v>
      </c>
      <c r="X645" s="32">
        <f t="shared" si="40"/>
        <v>141.03195966182659</v>
      </c>
      <c r="Y645" s="32">
        <f>(CPI!$B$112/O645)*X645</f>
        <v>199.57529210413429</v>
      </c>
      <c r="Z645" s="38" t="s">
        <v>262</v>
      </c>
      <c r="AA645" s="35" t="s">
        <v>1399</v>
      </c>
      <c r="AB645" s="32">
        <v>26377</v>
      </c>
      <c r="AC645" s="32" t="s">
        <v>1447</v>
      </c>
      <c r="AH645" s="32" t="s">
        <v>411</v>
      </c>
      <c r="AJ645" s="35" t="s">
        <v>2278</v>
      </c>
      <c r="AK645" s="40" t="s">
        <v>1103</v>
      </c>
      <c r="AL645" s="32">
        <v>2022</v>
      </c>
      <c r="AM645" s="32" t="s">
        <v>1104</v>
      </c>
      <c r="AN645" s="32" t="s">
        <v>1105</v>
      </c>
      <c r="AO645" s="38" t="s">
        <v>1106</v>
      </c>
      <c r="AP645" s="35" t="s">
        <v>396</v>
      </c>
    </row>
    <row r="646" spans="1:42" x14ac:dyDescent="0.2">
      <c r="A646" s="40">
        <v>66</v>
      </c>
      <c r="B646" s="40">
        <v>645</v>
      </c>
      <c r="C646" s="40" t="s">
        <v>119</v>
      </c>
      <c r="D646" s="38" t="s">
        <v>128</v>
      </c>
      <c r="E646" s="32" t="s">
        <v>2184</v>
      </c>
      <c r="F646" s="32" t="s">
        <v>43</v>
      </c>
      <c r="G646" s="54" t="s">
        <v>46</v>
      </c>
      <c r="H646" s="32" t="s">
        <v>242</v>
      </c>
      <c r="I646" s="32" t="s">
        <v>243</v>
      </c>
      <c r="J646" s="32" t="s">
        <v>1081</v>
      </c>
      <c r="K646" s="32" t="s">
        <v>129</v>
      </c>
      <c r="L646" s="32" t="s">
        <v>1082</v>
      </c>
      <c r="M646" s="32" t="s">
        <v>1083</v>
      </c>
      <c r="N646" s="40">
        <v>2022</v>
      </c>
      <c r="O646" s="32">
        <f>VLOOKUP(Data!N543, CPI!$A$2:$B$112, 2, 0)</f>
        <v>215.303</v>
      </c>
      <c r="P646" s="32" t="s">
        <v>132</v>
      </c>
      <c r="Q646" s="32" t="s">
        <v>239</v>
      </c>
      <c r="R646" s="32" t="s">
        <v>1097</v>
      </c>
      <c r="S646" s="32">
        <v>730000</v>
      </c>
      <c r="T646" s="32" t="s">
        <v>300</v>
      </c>
      <c r="U646" s="32">
        <f t="shared" si="39"/>
        <v>27.675626492777798</v>
      </c>
      <c r="V646" s="32" t="s">
        <v>316</v>
      </c>
      <c r="X646" s="32">
        <f t="shared" si="40"/>
        <v>27.675626492777798</v>
      </c>
      <c r="Y646" s="32">
        <f>(CPI!$B$112/O646)*X646</f>
        <v>39.163968611832807</v>
      </c>
      <c r="Z646" s="38" t="s">
        <v>262</v>
      </c>
      <c r="AA646" s="35" t="s">
        <v>1399</v>
      </c>
      <c r="AB646" s="32">
        <v>26377</v>
      </c>
      <c r="AC646" s="32" t="s">
        <v>1447</v>
      </c>
      <c r="AH646" s="32" t="s">
        <v>411</v>
      </c>
      <c r="AJ646" s="35" t="s">
        <v>2278</v>
      </c>
      <c r="AK646" s="40" t="s">
        <v>1103</v>
      </c>
      <c r="AL646" s="32">
        <v>2022</v>
      </c>
      <c r="AM646" s="32" t="s">
        <v>1104</v>
      </c>
      <c r="AN646" s="32" t="s">
        <v>1105</v>
      </c>
      <c r="AO646" s="38" t="s">
        <v>1106</v>
      </c>
      <c r="AP646" s="35" t="s">
        <v>396</v>
      </c>
    </row>
    <row r="647" spans="1:42" x14ac:dyDescent="0.2">
      <c r="A647" s="40">
        <v>66</v>
      </c>
      <c r="B647" s="40">
        <v>646</v>
      </c>
      <c r="C647" s="40" t="s">
        <v>119</v>
      </c>
      <c r="D647" s="38" t="s">
        <v>128</v>
      </c>
      <c r="E647" s="32" t="s">
        <v>2186</v>
      </c>
      <c r="F647" s="32" t="s">
        <v>2185</v>
      </c>
      <c r="G647" s="38" t="s">
        <v>2957</v>
      </c>
      <c r="H647" s="32" t="s">
        <v>242</v>
      </c>
      <c r="I647" s="32" t="s">
        <v>243</v>
      </c>
      <c r="J647" s="32" t="s">
        <v>1081</v>
      </c>
      <c r="K647" s="32" t="s">
        <v>129</v>
      </c>
      <c r="L647" s="32" t="s">
        <v>1082</v>
      </c>
      <c r="M647" s="32" t="s">
        <v>1083</v>
      </c>
      <c r="N647" s="40">
        <v>2022</v>
      </c>
      <c r="O647" s="32">
        <f>VLOOKUP(Data!N544, CPI!$A$2:$B$112, 2, 0)</f>
        <v>240.00700000000001</v>
      </c>
      <c r="P647" s="32" t="s">
        <v>132</v>
      </c>
      <c r="Q647" s="32" t="s">
        <v>239</v>
      </c>
      <c r="R647" s="32" t="s">
        <v>1098</v>
      </c>
      <c r="S647" s="32">
        <v>1160000</v>
      </c>
      <c r="T647" s="32" t="s">
        <v>300</v>
      </c>
      <c r="U647" s="32">
        <f t="shared" si="39"/>
        <v>43.977707851537325</v>
      </c>
      <c r="V647" s="32" t="s">
        <v>316</v>
      </c>
      <c r="X647" s="32">
        <f t="shared" si="40"/>
        <v>43.977707851537325</v>
      </c>
      <c r="Y647" s="32">
        <f>(CPI!$B$112/O647)*X647</f>
        <v>55.827476284674511</v>
      </c>
      <c r="Z647" s="38" t="s">
        <v>262</v>
      </c>
      <c r="AA647" s="35" t="s">
        <v>1399</v>
      </c>
      <c r="AB647" s="32">
        <v>26377</v>
      </c>
      <c r="AC647" s="32" t="s">
        <v>1447</v>
      </c>
      <c r="AH647" s="32" t="s">
        <v>411</v>
      </c>
      <c r="AJ647" s="35" t="s">
        <v>2278</v>
      </c>
      <c r="AK647" s="40" t="s">
        <v>1103</v>
      </c>
      <c r="AL647" s="32">
        <v>2022</v>
      </c>
      <c r="AM647" s="32" t="s">
        <v>1104</v>
      </c>
      <c r="AN647" s="32" t="s">
        <v>1105</v>
      </c>
      <c r="AO647" s="38" t="s">
        <v>1106</v>
      </c>
      <c r="AP647" s="35" t="s">
        <v>396</v>
      </c>
    </row>
    <row r="648" spans="1:42" x14ac:dyDescent="0.2">
      <c r="A648" s="40">
        <v>66</v>
      </c>
      <c r="B648" s="40">
        <v>647</v>
      </c>
      <c r="C648" s="40" t="s">
        <v>119</v>
      </c>
      <c r="D648" s="38" t="s">
        <v>128</v>
      </c>
      <c r="E648" s="32" t="s">
        <v>2887</v>
      </c>
      <c r="F648" s="32" t="s">
        <v>121</v>
      </c>
      <c r="G648" s="38" t="s">
        <v>121</v>
      </c>
      <c r="H648" s="32" t="s">
        <v>242</v>
      </c>
      <c r="I648" s="32" t="s">
        <v>243</v>
      </c>
      <c r="J648" s="32" t="s">
        <v>1081</v>
      </c>
      <c r="K648" s="32" t="s">
        <v>129</v>
      </c>
      <c r="L648" s="32" t="s">
        <v>1082</v>
      </c>
      <c r="M648" s="32" t="s">
        <v>1083</v>
      </c>
      <c r="N648" s="40">
        <v>2022</v>
      </c>
      <c r="O648" s="32">
        <f>VLOOKUP(Data!N545, CPI!$A$2:$B$112, 2, 0)</f>
        <v>240.00700000000001</v>
      </c>
      <c r="P648" s="32" t="s">
        <v>132</v>
      </c>
      <c r="Q648" s="32" t="s">
        <v>239</v>
      </c>
      <c r="R648" s="32" t="s">
        <v>1100</v>
      </c>
      <c r="S648" s="32">
        <v>370000</v>
      </c>
      <c r="T648" s="32" t="s">
        <v>300</v>
      </c>
      <c r="U648" s="32">
        <f t="shared" si="39"/>
        <v>14.027372331955871</v>
      </c>
      <c r="V648" s="32" t="s">
        <v>316</v>
      </c>
      <c r="X648" s="32">
        <f t="shared" si="40"/>
        <v>14.027372331955871</v>
      </c>
      <c r="Y648" s="32">
        <f>(CPI!$B$112/O648)*X648</f>
        <v>17.80703984942204</v>
      </c>
      <c r="Z648" s="38" t="s">
        <v>262</v>
      </c>
      <c r="AA648" s="35" t="s">
        <v>1399</v>
      </c>
      <c r="AB648" s="32">
        <v>26377</v>
      </c>
      <c r="AC648" s="32" t="s">
        <v>1447</v>
      </c>
      <c r="AH648" s="32" t="s">
        <v>411</v>
      </c>
      <c r="AJ648" s="35" t="s">
        <v>2278</v>
      </c>
      <c r="AK648" s="40" t="s">
        <v>1103</v>
      </c>
      <c r="AL648" s="32">
        <v>2022</v>
      </c>
      <c r="AM648" s="32" t="s">
        <v>1104</v>
      </c>
      <c r="AN648" s="32" t="s">
        <v>1105</v>
      </c>
      <c r="AO648" s="38" t="s">
        <v>1106</v>
      </c>
      <c r="AP648" s="35" t="s">
        <v>396</v>
      </c>
    </row>
    <row r="649" spans="1:42" x14ac:dyDescent="0.2">
      <c r="A649" s="40">
        <v>66</v>
      </c>
      <c r="B649" s="40">
        <v>648</v>
      </c>
      <c r="C649" s="40" t="s">
        <v>119</v>
      </c>
      <c r="D649" s="38" t="s">
        <v>128</v>
      </c>
      <c r="E649" s="32" t="s">
        <v>2186</v>
      </c>
      <c r="F649" s="59" t="s">
        <v>2959</v>
      </c>
      <c r="G649" s="54" t="s">
        <v>2895</v>
      </c>
      <c r="H649" s="32" t="s">
        <v>242</v>
      </c>
      <c r="I649" s="32" t="s">
        <v>243</v>
      </c>
      <c r="J649" s="32" t="s">
        <v>1081</v>
      </c>
      <c r="K649" s="32" t="s">
        <v>129</v>
      </c>
      <c r="L649" s="32" t="s">
        <v>1082</v>
      </c>
      <c r="M649" s="32" t="s">
        <v>1083</v>
      </c>
      <c r="N649" s="40">
        <v>2022</v>
      </c>
      <c r="O649" s="32">
        <f>VLOOKUP(Data!N546, CPI!$A$2:$B$112, 2, 0)</f>
        <v>240.00700000000001</v>
      </c>
      <c r="P649" s="32" t="s">
        <v>132</v>
      </c>
      <c r="Q649" s="32" t="s">
        <v>239</v>
      </c>
      <c r="R649" s="32" t="s">
        <v>1099</v>
      </c>
      <c r="S649" s="32">
        <v>130000</v>
      </c>
      <c r="T649" s="32" t="s">
        <v>300</v>
      </c>
      <c r="U649" s="32">
        <f t="shared" si="39"/>
        <v>4.9285362247412516</v>
      </c>
      <c r="V649" s="32" t="s">
        <v>316</v>
      </c>
      <c r="X649" s="32">
        <f t="shared" si="40"/>
        <v>4.9285362247412516</v>
      </c>
      <c r="Y649" s="32">
        <f>(CPI!$B$112/O649)*X649</f>
        <v>6.2565275146617978</v>
      </c>
      <c r="Z649" s="38" t="s">
        <v>262</v>
      </c>
      <c r="AA649" s="35" t="s">
        <v>1399</v>
      </c>
      <c r="AB649" s="32">
        <v>26377</v>
      </c>
      <c r="AC649" s="32" t="s">
        <v>1447</v>
      </c>
      <c r="AH649" s="32" t="s">
        <v>411</v>
      </c>
      <c r="AJ649" s="35" t="s">
        <v>2278</v>
      </c>
      <c r="AK649" s="40" t="s">
        <v>1103</v>
      </c>
      <c r="AL649" s="32">
        <v>2022</v>
      </c>
      <c r="AM649" s="32" t="s">
        <v>1104</v>
      </c>
      <c r="AN649" s="32" t="s">
        <v>1105</v>
      </c>
      <c r="AO649" s="38" t="s">
        <v>1106</v>
      </c>
      <c r="AP649" s="35" t="s">
        <v>396</v>
      </c>
    </row>
    <row r="650" spans="1:42" x14ac:dyDescent="0.2">
      <c r="A650" s="40">
        <v>66</v>
      </c>
      <c r="B650" s="40">
        <v>649</v>
      </c>
      <c r="C650" s="40" t="s">
        <v>119</v>
      </c>
      <c r="D650" s="38" t="s">
        <v>128</v>
      </c>
      <c r="E650" s="32" t="s">
        <v>2183</v>
      </c>
      <c r="F650" s="32" t="s">
        <v>244</v>
      </c>
      <c r="G650" s="38" t="s">
        <v>2908</v>
      </c>
      <c r="H650" s="32" t="s">
        <v>242</v>
      </c>
      <c r="I650" s="32" t="s">
        <v>243</v>
      </c>
      <c r="J650" s="32" t="s">
        <v>1081</v>
      </c>
      <c r="K650" s="32" t="s">
        <v>129</v>
      </c>
      <c r="L650" s="32" t="s">
        <v>1082</v>
      </c>
      <c r="M650" s="32" t="s">
        <v>1083</v>
      </c>
      <c r="N650" s="40">
        <v>1985</v>
      </c>
      <c r="O650" s="32">
        <f>VLOOKUP(Data!N547, CPI!$A$2:$B$112, 2, 0)</f>
        <v>240.00700000000001</v>
      </c>
      <c r="P650" s="32" t="s">
        <v>132</v>
      </c>
      <c r="Q650" s="32" t="s">
        <v>239</v>
      </c>
      <c r="R650" s="32" t="s">
        <v>1084</v>
      </c>
      <c r="S650" s="32">
        <v>700000</v>
      </c>
      <c r="T650" s="32" t="s">
        <v>300</v>
      </c>
      <c r="U650" s="32">
        <f t="shared" si="39"/>
        <v>26.53827197937597</v>
      </c>
      <c r="V650" s="32" t="s">
        <v>316</v>
      </c>
      <c r="X650" s="32">
        <f t="shared" si="40"/>
        <v>26.53827197937597</v>
      </c>
      <c r="Y650" s="32">
        <f>(CPI!$B$112/O650)*X650</f>
        <v>33.688994309717373</v>
      </c>
      <c r="Z650" s="38" t="s">
        <v>262</v>
      </c>
      <c r="AA650" s="35" t="s">
        <v>1399</v>
      </c>
      <c r="AB650" s="32">
        <v>26377</v>
      </c>
      <c r="AC650" s="32" t="s">
        <v>1447</v>
      </c>
      <c r="AH650" s="32" t="s">
        <v>411</v>
      </c>
      <c r="AJ650" s="35" t="s">
        <v>2278</v>
      </c>
      <c r="AK650" s="40" t="s">
        <v>1103</v>
      </c>
      <c r="AL650" s="32">
        <v>2022</v>
      </c>
      <c r="AM650" s="32" t="s">
        <v>1104</v>
      </c>
      <c r="AN650" s="32" t="s">
        <v>1105</v>
      </c>
      <c r="AO650" s="38" t="s">
        <v>1106</v>
      </c>
      <c r="AP650" s="35" t="s">
        <v>396</v>
      </c>
    </row>
    <row r="651" spans="1:42" x14ac:dyDescent="0.2">
      <c r="A651" s="40">
        <v>66</v>
      </c>
      <c r="B651" s="40">
        <v>650</v>
      </c>
      <c r="C651" s="40" t="s">
        <v>119</v>
      </c>
      <c r="D651" s="38" t="s">
        <v>128</v>
      </c>
      <c r="E651" s="32" t="s">
        <v>2183</v>
      </c>
      <c r="F651" s="32" t="s">
        <v>237</v>
      </c>
      <c r="G651" s="36" t="s">
        <v>2907</v>
      </c>
      <c r="H651" s="32" t="s">
        <v>242</v>
      </c>
      <c r="I651" s="32" t="s">
        <v>243</v>
      </c>
      <c r="J651" s="32" t="s">
        <v>1081</v>
      </c>
      <c r="K651" s="32" t="s">
        <v>129</v>
      </c>
      <c r="L651" s="32" t="s">
        <v>1082</v>
      </c>
      <c r="M651" s="32" t="s">
        <v>1083</v>
      </c>
      <c r="N651" s="40">
        <v>1985</v>
      </c>
      <c r="O651" s="32">
        <f>VLOOKUP(Data!N548, CPI!$A$2:$B$112, 2, 0)</f>
        <v>240.00700000000001</v>
      </c>
      <c r="P651" s="32" t="s">
        <v>132</v>
      </c>
      <c r="Q651" s="32" t="s">
        <v>239</v>
      </c>
      <c r="R651" s="32" t="s">
        <v>1085</v>
      </c>
      <c r="S651" s="32">
        <v>29590000</v>
      </c>
      <c r="T651" s="32" t="s">
        <v>300</v>
      </c>
      <c r="U651" s="32">
        <f t="shared" si="39"/>
        <v>1121.8106683853357</v>
      </c>
      <c r="V651" s="32" t="s">
        <v>316</v>
      </c>
      <c r="X651" s="32">
        <f t="shared" si="40"/>
        <v>1121.8106683853357</v>
      </c>
      <c r="Y651" s="32">
        <f>(CPI!$B$112/O651)*X651</f>
        <v>1424.0819166064816</v>
      </c>
      <c r="Z651" s="38" t="s">
        <v>262</v>
      </c>
      <c r="AA651" s="35" t="s">
        <v>1399</v>
      </c>
      <c r="AB651" s="32">
        <v>26377</v>
      </c>
      <c r="AC651" s="32" t="s">
        <v>1447</v>
      </c>
      <c r="AH651" s="32" t="s">
        <v>411</v>
      </c>
      <c r="AJ651" s="35" t="s">
        <v>2278</v>
      </c>
      <c r="AK651" s="40" t="s">
        <v>1103</v>
      </c>
      <c r="AL651" s="32">
        <v>2022</v>
      </c>
      <c r="AM651" s="32" t="s">
        <v>1104</v>
      </c>
      <c r="AN651" s="32" t="s">
        <v>1105</v>
      </c>
      <c r="AO651" s="38" t="s">
        <v>1106</v>
      </c>
      <c r="AP651" s="35" t="s">
        <v>396</v>
      </c>
    </row>
    <row r="652" spans="1:42" x14ac:dyDescent="0.2">
      <c r="A652" s="40">
        <v>66</v>
      </c>
      <c r="B652" s="40">
        <v>651</v>
      </c>
      <c r="C652" s="40" t="s">
        <v>119</v>
      </c>
      <c r="D652" s="38" t="s">
        <v>128</v>
      </c>
      <c r="E652" s="32" t="s">
        <v>2183</v>
      </c>
      <c r="F652" s="32" t="s">
        <v>126</v>
      </c>
      <c r="G652" s="54" t="s">
        <v>2909</v>
      </c>
      <c r="H652" s="32" t="s">
        <v>242</v>
      </c>
      <c r="I652" s="32" t="s">
        <v>243</v>
      </c>
      <c r="J652" s="32" t="s">
        <v>1081</v>
      </c>
      <c r="K652" s="32" t="s">
        <v>129</v>
      </c>
      <c r="L652" s="32" t="s">
        <v>1082</v>
      </c>
      <c r="M652" s="32" t="s">
        <v>1083</v>
      </c>
      <c r="N652" s="40">
        <v>1985</v>
      </c>
      <c r="O652" s="32">
        <f>VLOOKUP(Data!N549, CPI!$A$2:$B$112, 2, 0)</f>
        <v>240.00700000000001</v>
      </c>
      <c r="P652" s="32" t="s">
        <v>132</v>
      </c>
      <c r="Q652" s="32" t="s">
        <v>239</v>
      </c>
      <c r="R652" s="32" t="s">
        <v>1086</v>
      </c>
      <c r="S652" s="32">
        <v>3970000</v>
      </c>
      <c r="T652" s="32" t="s">
        <v>300</v>
      </c>
      <c r="U652" s="32">
        <f t="shared" si="39"/>
        <v>150.50991394017515</v>
      </c>
      <c r="V652" s="32" t="s">
        <v>316</v>
      </c>
      <c r="X652" s="32">
        <f t="shared" si="40"/>
        <v>150.50991394017515</v>
      </c>
      <c r="Y652" s="32">
        <f>(CPI!$B$112/O652)*X652</f>
        <v>191.0647248708257</v>
      </c>
      <c r="Z652" s="38" t="s">
        <v>262</v>
      </c>
      <c r="AA652" s="35" t="s">
        <v>1399</v>
      </c>
      <c r="AB652" s="32">
        <v>26377</v>
      </c>
      <c r="AC652" s="32" t="s">
        <v>1447</v>
      </c>
      <c r="AH652" s="32" t="s">
        <v>411</v>
      </c>
      <c r="AJ652" s="35" t="s">
        <v>2278</v>
      </c>
      <c r="AK652" s="40" t="s">
        <v>1103</v>
      </c>
      <c r="AL652" s="32">
        <v>2022</v>
      </c>
      <c r="AM652" s="32" t="s">
        <v>1104</v>
      </c>
      <c r="AN652" s="32" t="s">
        <v>1105</v>
      </c>
      <c r="AO652" s="38" t="s">
        <v>1106</v>
      </c>
      <c r="AP652" s="35" t="s">
        <v>396</v>
      </c>
    </row>
    <row r="653" spans="1:42" x14ac:dyDescent="0.2">
      <c r="A653" s="40">
        <v>66</v>
      </c>
      <c r="B653" s="40">
        <v>652</v>
      </c>
      <c r="C653" s="40" t="s">
        <v>119</v>
      </c>
      <c r="D653" s="38" t="s">
        <v>128</v>
      </c>
      <c r="E653" s="32" t="s">
        <v>2183</v>
      </c>
      <c r="F653" s="32" t="s">
        <v>48</v>
      </c>
      <c r="G653" s="38" t="s">
        <v>2913</v>
      </c>
      <c r="H653" s="32" t="s">
        <v>242</v>
      </c>
      <c r="I653" s="32" t="s">
        <v>243</v>
      </c>
      <c r="J653" s="32" t="s">
        <v>1081</v>
      </c>
      <c r="K653" s="32" t="s">
        <v>129</v>
      </c>
      <c r="L653" s="32" t="s">
        <v>1082</v>
      </c>
      <c r="M653" s="32" t="s">
        <v>1083</v>
      </c>
      <c r="N653" s="40">
        <v>1985</v>
      </c>
      <c r="O653" s="32">
        <f>VLOOKUP(Data!N550, CPI!$A$2:$B$112, 2, 0)</f>
        <v>240.00700000000001</v>
      </c>
      <c r="P653" s="32" t="s">
        <v>132</v>
      </c>
      <c r="Q653" s="32" t="s">
        <v>239</v>
      </c>
      <c r="R653" s="32" t="s">
        <v>1087</v>
      </c>
      <c r="S653" s="32">
        <v>3170000</v>
      </c>
      <c r="T653" s="32" t="s">
        <v>300</v>
      </c>
      <c r="U653" s="32">
        <f t="shared" si="39"/>
        <v>120.18046024945976</v>
      </c>
      <c r="V653" s="32" t="s">
        <v>316</v>
      </c>
      <c r="X653" s="32">
        <f t="shared" si="40"/>
        <v>120.18046024945976</v>
      </c>
      <c r="Y653" s="32">
        <f>(CPI!$B$112/O653)*X653</f>
        <v>152.56301708829153</v>
      </c>
      <c r="Z653" s="38" t="s">
        <v>262</v>
      </c>
      <c r="AA653" s="35" t="s">
        <v>1399</v>
      </c>
      <c r="AB653" s="32">
        <v>26377</v>
      </c>
      <c r="AC653" s="32" t="s">
        <v>1447</v>
      </c>
      <c r="AH653" s="32" t="s">
        <v>411</v>
      </c>
      <c r="AJ653" s="35" t="s">
        <v>2278</v>
      </c>
      <c r="AK653" s="40" t="s">
        <v>1103</v>
      </c>
      <c r="AL653" s="32">
        <v>2022</v>
      </c>
      <c r="AM653" s="32" t="s">
        <v>1104</v>
      </c>
      <c r="AN653" s="32" t="s">
        <v>1105</v>
      </c>
      <c r="AO653" s="38" t="s">
        <v>1106</v>
      </c>
      <c r="AP653" s="35" t="s">
        <v>396</v>
      </c>
    </row>
    <row r="654" spans="1:42" x14ac:dyDescent="0.2">
      <c r="A654" s="40">
        <v>66</v>
      </c>
      <c r="B654" s="40">
        <v>653</v>
      </c>
      <c r="C654" s="40" t="s">
        <v>119</v>
      </c>
      <c r="D654" s="38" t="s">
        <v>128</v>
      </c>
      <c r="E654" s="32" t="s">
        <v>2183</v>
      </c>
      <c r="F654" s="32" t="s">
        <v>244</v>
      </c>
      <c r="G654" s="38" t="s">
        <v>1102</v>
      </c>
      <c r="H654" s="32" t="s">
        <v>242</v>
      </c>
      <c r="I654" s="32" t="s">
        <v>243</v>
      </c>
      <c r="J654" s="32" t="s">
        <v>1081</v>
      </c>
      <c r="K654" s="32" t="s">
        <v>129</v>
      </c>
      <c r="L654" s="32" t="s">
        <v>1082</v>
      </c>
      <c r="M654" s="32" t="s">
        <v>1083</v>
      </c>
      <c r="N654" s="40">
        <v>1985</v>
      </c>
      <c r="O654" s="32">
        <f>VLOOKUP(Data!N551, CPI!$A$2:$B$112, 2, 0)</f>
        <v>240.00700000000001</v>
      </c>
      <c r="P654" s="32" t="s">
        <v>132</v>
      </c>
      <c r="Q654" s="32" t="s">
        <v>239</v>
      </c>
      <c r="R654" s="32" t="s">
        <v>1088</v>
      </c>
      <c r="S654" s="32">
        <v>910000</v>
      </c>
      <c r="T654" s="32" t="s">
        <v>300</v>
      </c>
      <c r="U654" s="32">
        <f t="shared" si="39"/>
        <v>34.499753573188762</v>
      </c>
      <c r="V654" s="32" t="s">
        <v>316</v>
      </c>
      <c r="X654" s="32">
        <f t="shared" si="40"/>
        <v>34.499753573188762</v>
      </c>
      <c r="Y654" s="32">
        <f>(CPI!$B$112/O654)*X654</f>
        <v>43.795692602632585</v>
      </c>
      <c r="Z654" s="38" t="s">
        <v>262</v>
      </c>
      <c r="AA654" s="35" t="s">
        <v>1399</v>
      </c>
      <c r="AB654" s="32">
        <v>26377</v>
      </c>
      <c r="AC654" s="32" t="s">
        <v>1447</v>
      </c>
      <c r="AH654" s="32" t="s">
        <v>411</v>
      </c>
      <c r="AJ654" s="35" t="s">
        <v>2278</v>
      </c>
      <c r="AK654" s="40" t="s">
        <v>1103</v>
      </c>
      <c r="AL654" s="32">
        <v>2022</v>
      </c>
      <c r="AM654" s="32" t="s">
        <v>1104</v>
      </c>
      <c r="AN654" s="32" t="s">
        <v>1105</v>
      </c>
      <c r="AO654" s="38" t="s">
        <v>1106</v>
      </c>
      <c r="AP654" s="35" t="s">
        <v>396</v>
      </c>
    </row>
    <row r="655" spans="1:42" x14ac:dyDescent="0.2">
      <c r="A655" s="40">
        <v>66</v>
      </c>
      <c r="B655" s="40">
        <v>654</v>
      </c>
      <c r="C655" s="40" t="s">
        <v>119</v>
      </c>
      <c r="D655" s="38" t="s">
        <v>128</v>
      </c>
      <c r="E655" s="32" t="s">
        <v>2183</v>
      </c>
      <c r="F655" s="32" t="s">
        <v>244</v>
      </c>
      <c r="G655" s="38" t="s">
        <v>162</v>
      </c>
      <c r="H655" s="32" t="s">
        <v>242</v>
      </c>
      <c r="I655" s="32" t="s">
        <v>243</v>
      </c>
      <c r="J655" s="32" t="s">
        <v>1081</v>
      </c>
      <c r="K655" s="32" t="s">
        <v>129</v>
      </c>
      <c r="L655" s="32" t="s">
        <v>1082</v>
      </c>
      <c r="M655" s="32" t="s">
        <v>1083</v>
      </c>
      <c r="N655" s="40">
        <v>1985</v>
      </c>
      <c r="O655" s="32">
        <f>VLOOKUP(Data!N552, CPI!$A$2:$B$112, 2, 0)</f>
        <v>240.00700000000001</v>
      </c>
      <c r="P655" s="32" t="s">
        <v>132</v>
      </c>
      <c r="Q655" s="32" t="s">
        <v>239</v>
      </c>
      <c r="R655" s="32" t="s">
        <v>1089</v>
      </c>
      <c r="S655" s="32">
        <v>17370000</v>
      </c>
      <c r="T655" s="32" t="s">
        <v>300</v>
      </c>
      <c r="U655" s="32">
        <f t="shared" si="39"/>
        <v>658.52826325965805</v>
      </c>
      <c r="V655" s="32" t="s">
        <v>316</v>
      </c>
      <c r="X655" s="32">
        <f t="shared" si="40"/>
        <v>658.52826325965805</v>
      </c>
      <c r="Y655" s="32">
        <f>(CPI!$B$112/O655)*X655</f>
        <v>835.96833022827263</v>
      </c>
      <c r="Z655" s="38" t="s">
        <v>262</v>
      </c>
      <c r="AA655" s="35" t="s">
        <v>1399</v>
      </c>
      <c r="AB655" s="32">
        <v>26377</v>
      </c>
      <c r="AC655" s="32" t="s">
        <v>1447</v>
      </c>
      <c r="AH655" s="32" t="s">
        <v>411</v>
      </c>
      <c r="AJ655" s="35" t="s">
        <v>2278</v>
      </c>
      <c r="AK655" s="40" t="s">
        <v>1103</v>
      </c>
      <c r="AL655" s="32">
        <v>2022</v>
      </c>
      <c r="AM655" s="32" t="s">
        <v>1104</v>
      </c>
      <c r="AN655" s="32" t="s">
        <v>1105</v>
      </c>
      <c r="AO655" s="38" t="s">
        <v>1106</v>
      </c>
      <c r="AP655" s="35" t="s">
        <v>396</v>
      </c>
    </row>
    <row r="656" spans="1:42" x14ac:dyDescent="0.2">
      <c r="A656" s="40">
        <v>66</v>
      </c>
      <c r="B656" s="40">
        <v>655</v>
      </c>
      <c r="C656" s="40" t="s">
        <v>119</v>
      </c>
      <c r="D656" s="38" t="s">
        <v>128</v>
      </c>
      <c r="E656" s="32" t="s">
        <v>2184</v>
      </c>
      <c r="F656" s="32" t="s">
        <v>145</v>
      </c>
      <c r="G656" s="38" t="s">
        <v>146</v>
      </c>
      <c r="H656" s="32" t="s">
        <v>242</v>
      </c>
      <c r="I656" s="32" t="s">
        <v>243</v>
      </c>
      <c r="J656" s="32" t="s">
        <v>1081</v>
      </c>
      <c r="K656" s="32" t="s">
        <v>129</v>
      </c>
      <c r="L656" s="32" t="s">
        <v>1082</v>
      </c>
      <c r="M656" s="32" t="s">
        <v>1083</v>
      </c>
      <c r="N656" s="40">
        <v>1985</v>
      </c>
      <c r="O656" s="32">
        <f>VLOOKUP(Data!N553, CPI!$A$2:$B$112, 2, 0)</f>
        <v>237.017</v>
      </c>
      <c r="P656" s="32" t="s">
        <v>132</v>
      </c>
      <c r="Q656" s="32" t="s">
        <v>239</v>
      </c>
      <c r="R656" s="32" t="s">
        <v>1090</v>
      </c>
      <c r="S656" s="32">
        <v>21240000</v>
      </c>
      <c r="T656" s="32" t="s">
        <v>300</v>
      </c>
      <c r="U656" s="32">
        <f t="shared" si="39"/>
        <v>805.24699548849378</v>
      </c>
      <c r="V656" s="32" t="s">
        <v>316</v>
      </c>
      <c r="X656" s="32">
        <f t="shared" si="40"/>
        <v>805.24699548849378</v>
      </c>
      <c r="Y656" s="32">
        <f>(CPI!$B$112/O656)*X656</f>
        <v>1035.115782972103</v>
      </c>
      <c r="Z656" s="38" t="s">
        <v>262</v>
      </c>
      <c r="AA656" s="35" t="s">
        <v>1399</v>
      </c>
      <c r="AB656" s="32">
        <v>26377</v>
      </c>
      <c r="AC656" s="32" t="s">
        <v>1447</v>
      </c>
      <c r="AH656" s="32" t="s">
        <v>411</v>
      </c>
      <c r="AJ656" s="35" t="s">
        <v>2278</v>
      </c>
      <c r="AK656" s="40" t="s">
        <v>1103</v>
      </c>
      <c r="AL656" s="32">
        <v>2022</v>
      </c>
      <c r="AM656" s="32" t="s">
        <v>1104</v>
      </c>
      <c r="AN656" s="32" t="s">
        <v>1105</v>
      </c>
      <c r="AO656" s="38" t="s">
        <v>1106</v>
      </c>
      <c r="AP656" s="35" t="s">
        <v>396</v>
      </c>
    </row>
    <row r="657" spans="1:42" x14ac:dyDescent="0.2">
      <c r="A657" s="40">
        <v>66</v>
      </c>
      <c r="B657" s="40">
        <v>656</v>
      </c>
      <c r="C657" s="40" t="s">
        <v>119</v>
      </c>
      <c r="D657" s="38" t="s">
        <v>128</v>
      </c>
      <c r="E657" s="32" t="s">
        <v>2184</v>
      </c>
      <c r="F657" s="32" t="s">
        <v>131</v>
      </c>
      <c r="G657" s="38" t="s">
        <v>2920</v>
      </c>
      <c r="H657" s="32" t="s">
        <v>242</v>
      </c>
      <c r="I657" s="32" t="s">
        <v>243</v>
      </c>
      <c r="J657" s="32" t="s">
        <v>1081</v>
      </c>
      <c r="K657" s="32" t="s">
        <v>129</v>
      </c>
      <c r="L657" s="32" t="s">
        <v>1082</v>
      </c>
      <c r="M657" s="32" t="s">
        <v>1083</v>
      </c>
      <c r="N657" s="40">
        <v>1985</v>
      </c>
      <c r="O657" s="32">
        <f>VLOOKUP(Data!N554, CPI!$A$2:$B$112, 2, 0)</f>
        <v>237.017</v>
      </c>
      <c r="P657" s="32" t="s">
        <v>132</v>
      </c>
      <c r="Q657" s="32" t="s">
        <v>239</v>
      </c>
      <c r="R657" s="32" t="s">
        <v>1091</v>
      </c>
      <c r="S657" s="32">
        <v>17260000</v>
      </c>
      <c r="T657" s="32" t="s">
        <v>300</v>
      </c>
      <c r="U657" s="32">
        <f t="shared" si="39"/>
        <v>654.35796337718466</v>
      </c>
      <c r="V657" s="32" t="s">
        <v>316</v>
      </c>
      <c r="X657" s="32">
        <f t="shared" si="40"/>
        <v>654.35796337718466</v>
      </c>
      <c r="Y657" s="32">
        <f>(CPI!$B$112/O657)*X657</f>
        <v>841.15340932667141</v>
      </c>
      <c r="Z657" s="38" t="s">
        <v>262</v>
      </c>
      <c r="AA657" s="35" t="s">
        <v>1399</v>
      </c>
      <c r="AB657" s="32">
        <v>26377</v>
      </c>
      <c r="AC657" s="32" t="s">
        <v>1447</v>
      </c>
      <c r="AH657" s="32" t="s">
        <v>411</v>
      </c>
      <c r="AJ657" s="35" t="s">
        <v>2278</v>
      </c>
      <c r="AK657" s="40" t="s">
        <v>1103</v>
      </c>
      <c r="AL657" s="32">
        <v>2022</v>
      </c>
      <c r="AM657" s="32" t="s">
        <v>1104</v>
      </c>
      <c r="AN657" s="32" t="s">
        <v>1105</v>
      </c>
      <c r="AO657" s="38" t="s">
        <v>1106</v>
      </c>
      <c r="AP657" s="35" t="s">
        <v>396</v>
      </c>
    </row>
    <row r="658" spans="1:42" x14ac:dyDescent="0.2">
      <c r="A658" s="40">
        <v>66</v>
      </c>
      <c r="B658" s="40">
        <v>657</v>
      </c>
      <c r="C658" s="40" t="s">
        <v>119</v>
      </c>
      <c r="D658" s="38" t="s">
        <v>128</v>
      </c>
      <c r="E658" s="32" t="s">
        <v>2184</v>
      </c>
      <c r="F658" s="32" t="s">
        <v>36</v>
      </c>
      <c r="G658" s="54" t="s">
        <v>2934</v>
      </c>
      <c r="H658" s="32" t="s">
        <v>242</v>
      </c>
      <c r="I658" s="32" t="s">
        <v>243</v>
      </c>
      <c r="J658" s="32" t="s">
        <v>1081</v>
      </c>
      <c r="K658" s="32" t="s">
        <v>129</v>
      </c>
      <c r="L658" s="32" t="s">
        <v>1082</v>
      </c>
      <c r="M658" s="32" t="s">
        <v>1083</v>
      </c>
      <c r="N658" s="40">
        <v>1985</v>
      </c>
      <c r="O658" s="32">
        <f>VLOOKUP(Data!N555, CPI!$A$2:$B$112, 2, 0)</f>
        <v>237.017</v>
      </c>
      <c r="P658" s="32" t="s">
        <v>132</v>
      </c>
      <c r="Q658" s="32" t="s">
        <v>239</v>
      </c>
      <c r="R658" s="32" t="s">
        <v>1092</v>
      </c>
      <c r="S658" s="32">
        <v>4090000</v>
      </c>
      <c r="T658" s="32" t="s">
        <v>300</v>
      </c>
      <c r="U658" s="32">
        <f t="shared" si="39"/>
        <v>155.05933199378245</v>
      </c>
      <c r="V658" s="32" t="s">
        <v>316</v>
      </c>
      <c r="X658" s="32">
        <f t="shared" si="40"/>
        <v>155.05933199378245</v>
      </c>
      <c r="Y658" s="32">
        <f>(CPI!$B$112/O658)*X658</f>
        <v>199.32314276628537</v>
      </c>
      <c r="Z658" s="38" t="s">
        <v>262</v>
      </c>
      <c r="AA658" s="35" t="s">
        <v>1399</v>
      </c>
      <c r="AB658" s="32">
        <v>26377</v>
      </c>
      <c r="AC658" s="32" t="s">
        <v>1447</v>
      </c>
      <c r="AH658" s="32" t="s">
        <v>411</v>
      </c>
      <c r="AJ658" s="35" t="s">
        <v>2278</v>
      </c>
      <c r="AK658" s="40" t="s">
        <v>1103</v>
      </c>
      <c r="AL658" s="32">
        <v>2022</v>
      </c>
      <c r="AM658" s="32" t="s">
        <v>1104</v>
      </c>
      <c r="AN658" s="32" t="s">
        <v>1105</v>
      </c>
      <c r="AO658" s="38" t="s">
        <v>1106</v>
      </c>
      <c r="AP658" s="35" t="s">
        <v>396</v>
      </c>
    </row>
    <row r="659" spans="1:42" x14ac:dyDescent="0.2">
      <c r="A659" s="40">
        <v>66</v>
      </c>
      <c r="B659" s="40">
        <v>658</v>
      </c>
      <c r="C659" s="40" t="s">
        <v>119</v>
      </c>
      <c r="D659" s="38" t="s">
        <v>128</v>
      </c>
      <c r="E659" s="32" t="s">
        <v>2184</v>
      </c>
      <c r="F659" s="32" t="s">
        <v>131</v>
      </c>
      <c r="G659" s="54" t="s">
        <v>64</v>
      </c>
      <c r="H659" s="32" t="s">
        <v>242</v>
      </c>
      <c r="I659" s="32" t="s">
        <v>243</v>
      </c>
      <c r="J659" s="32" t="s">
        <v>1081</v>
      </c>
      <c r="K659" s="32" t="s">
        <v>129</v>
      </c>
      <c r="L659" s="32" t="s">
        <v>1082</v>
      </c>
      <c r="M659" s="32" t="s">
        <v>1083</v>
      </c>
      <c r="N659" s="40">
        <v>1985</v>
      </c>
      <c r="O659" s="32">
        <f>VLOOKUP(Data!N556, CPI!$A$2:$B$112, 2, 0)</f>
        <v>237.017</v>
      </c>
      <c r="P659" s="32" t="s">
        <v>132</v>
      </c>
      <c r="Q659" s="32" t="s">
        <v>239</v>
      </c>
      <c r="R659" s="32" t="s">
        <v>1093</v>
      </c>
      <c r="S659" s="32">
        <v>1610000</v>
      </c>
      <c r="T659" s="32" t="s">
        <v>300</v>
      </c>
      <c r="U659" s="32">
        <f t="shared" si="39"/>
        <v>61.038025552564733</v>
      </c>
      <c r="V659" s="32" t="s">
        <v>316</v>
      </c>
      <c r="X659" s="32">
        <f t="shared" si="40"/>
        <v>61.038025552564733</v>
      </c>
      <c r="Y659" s="32">
        <f>(CPI!$B$112/O659)*X659</f>
        <v>78.462166223403301</v>
      </c>
      <c r="Z659" s="38" t="s">
        <v>262</v>
      </c>
      <c r="AA659" s="35" t="s">
        <v>1399</v>
      </c>
      <c r="AB659" s="32">
        <v>26377</v>
      </c>
      <c r="AC659" s="32" t="s">
        <v>1447</v>
      </c>
      <c r="AH659" s="32" t="s">
        <v>411</v>
      </c>
      <c r="AJ659" s="35" t="s">
        <v>2278</v>
      </c>
      <c r="AK659" s="40" t="s">
        <v>1103</v>
      </c>
      <c r="AL659" s="32">
        <v>2022</v>
      </c>
      <c r="AM659" s="32" t="s">
        <v>1104</v>
      </c>
      <c r="AN659" s="32" t="s">
        <v>1105</v>
      </c>
      <c r="AO659" s="38" t="s">
        <v>1106</v>
      </c>
      <c r="AP659" s="35" t="s">
        <v>396</v>
      </c>
    </row>
    <row r="660" spans="1:42" x14ac:dyDescent="0.2">
      <c r="A660" s="40">
        <v>66</v>
      </c>
      <c r="B660" s="40">
        <v>659</v>
      </c>
      <c r="C660" s="40" t="s">
        <v>119</v>
      </c>
      <c r="D660" s="38" t="s">
        <v>128</v>
      </c>
      <c r="E660" s="32" t="s">
        <v>2186</v>
      </c>
      <c r="F660" s="32" t="s">
        <v>21</v>
      </c>
      <c r="G660" s="38" t="s">
        <v>163</v>
      </c>
      <c r="H660" s="32" t="s">
        <v>242</v>
      </c>
      <c r="I660" s="32" t="s">
        <v>243</v>
      </c>
      <c r="J660" s="32" t="s">
        <v>1081</v>
      </c>
      <c r="K660" s="32" t="s">
        <v>129</v>
      </c>
      <c r="L660" s="32" t="s">
        <v>1082</v>
      </c>
      <c r="M660" s="32" t="s">
        <v>1083</v>
      </c>
      <c r="N660" s="40">
        <v>1985</v>
      </c>
      <c r="O660" s="32">
        <f>VLOOKUP(Data!N557, CPI!$A$2:$B$112, 2, 0)</f>
        <v>237.017</v>
      </c>
      <c r="P660" s="32" t="s">
        <v>132</v>
      </c>
      <c r="Q660" s="32" t="s">
        <v>239</v>
      </c>
      <c r="R660" s="32" t="s">
        <v>1094</v>
      </c>
      <c r="S660" s="32">
        <v>390000</v>
      </c>
      <c r="T660" s="32" t="s">
        <v>300</v>
      </c>
      <c r="U660" s="32">
        <f t="shared" si="39"/>
        <v>14.785608674223756</v>
      </c>
      <c r="V660" s="32" t="s">
        <v>316</v>
      </c>
      <c r="X660" s="32">
        <f t="shared" si="40"/>
        <v>14.785608674223756</v>
      </c>
      <c r="Y660" s="32">
        <f>(CPI!$B$112/O660)*X660</f>
        <v>19.006363246662911</v>
      </c>
      <c r="Z660" s="38" t="s">
        <v>262</v>
      </c>
      <c r="AA660" s="35" t="s">
        <v>1399</v>
      </c>
      <c r="AB660" s="32">
        <v>26377</v>
      </c>
      <c r="AC660" s="32" t="s">
        <v>1447</v>
      </c>
      <c r="AH660" s="32" t="s">
        <v>411</v>
      </c>
      <c r="AJ660" s="35" t="s">
        <v>2278</v>
      </c>
      <c r="AK660" s="40" t="s">
        <v>1103</v>
      </c>
      <c r="AL660" s="32">
        <v>2022</v>
      </c>
      <c r="AM660" s="32" t="s">
        <v>1104</v>
      </c>
      <c r="AN660" s="32" t="s">
        <v>1105</v>
      </c>
      <c r="AO660" s="38" t="s">
        <v>1106</v>
      </c>
      <c r="AP660" s="35" t="s">
        <v>396</v>
      </c>
    </row>
    <row r="661" spans="1:42" x14ac:dyDescent="0.2">
      <c r="A661" s="40">
        <v>66</v>
      </c>
      <c r="B661" s="40">
        <v>660</v>
      </c>
      <c r="C661" s="40" t="s">
        <v>119</v>
      </c>
      <c r="D661" s="38" t="s">
        <v>128</v>
      </c>
      <c r="E661" s="32" t="s">
        <v>2184</v>
      </c>
      <c r="F661" s="32" t="s">
        <v>43</v>
      </c>
      <c r="G661" s="38" t="s">
        <v>44</v>
      </c>
      <c r="H661" s="32" t="s">
        <v>242</v>
      </c>
      <c r="I661" s="32" t="s">
        <v>243</v>
      </c>
      <c r="J661" s="32" t="s">
        <v>1081</v>
      </c>
      <c r="K661" s="32" t="s">
        <v>129</v>
      </c>
      <c r="L661" s="32" t="s">
        <v>1082</v>
      </c>
      <c r="M661" s="32" t="s">
        <v>1083</v>
      </c>
      <c r="N661" s="40">
        <v>1985</v>
      </c>
      <c r="O661" s="32">
        <f>VLOOKUP(Data!N558, CPI!$A$2:$B$112, 2, 0)</f>
        <v>237.017</v>
      </c>
      <c r="P661" s="32" t="s">
        <v>132</v>
      </c>
      <c r="Q661" s="32" t="s">
        <v>239</v>
      </c>
      <c r="R661" s="32" t="s">
        <v>1095</v>
      </c>
      <c r="S661" s="32">
        <v>14270000</v>
      </c>
      <c r="T661" s="32" t="s">
        <v>300</v>
      </c>
      <c r="U661" s="32">
        <f t="shared" si="39"/>
        <v>541.00163020813591</v>
      </c>
      <c r="V661" s="32" t="s">
        <v>316</v>
      </c>
      <c r="X661" s="32">
        <f t="shared" si="40"/>
        <v>541.00163020813591</v>
      </c>
      <c r="Y661" s="32">
        <f>(CPI!$B$112/O661)*X661</f>
        <v>695.43795776892239</v>
      </c>
      <c r="Z661" s="38" t="s">
        <v>262</v>
      </c>
      <c r="AA661" s="35" t="s">
        <v>1399</v>
      </c>
      <c r="AB661" s="32">
        <v>26377</v>
      </c>
      <c r="AC661" s="32" t="s">
        <v>1447</v>
      </c>
      <c r="AH661" s="32" t="s">
        <v>411</v>
      </c>
      <c r="AJ661" s="35" t="s">
        <v>2278</v>
      </c>
      <c r="AK661" s="40" t="s">
        <v>1103</v>
      </c>
      <c r="AL661" s="32">
        <v>2022</v>
      </c>
      <c r="AM661" s="32" t="s">
        <v>1104</v>
      </c>
      <c r="AN661" s="32" t="s">
        <v>1105</v>
      </c>
      <c r="AO661" s="38" t="s">
        <v>1106</v>
      </c>
      <c r="AP661" s="35" t="s">
        <v>396</v>
      </c>
    </row>
    <row r="662" spans="1:42" x14ac:dyDescent="0.2">
      <c r="A662" s="40">
        <v>66</v>
      </c>
      <c r="B662" s="40">
        <v>661</v>
      </c>
      <c r="C662" s="40" t="s">
        <v>119</v>
      </c>
      <c r="D662" s="38" t="s">
        <v>128</v>
      </c>
      <c r="E662" s="32" t="s">
        <v>2184</v>
      </c>
      <c r="F662" s="32" t="s">
        <v>47</v>
      </c>
      <c r="G662" s="54" t="s">
        <v>2932</v>
      </c>
      <c r="H662" s="32" t="s">
        <v>242</v>
      </c>
      <c r="I662" s="32" t="s">
        <v>243</v>
      </c>
      <c r="J662" s="32" t="s">
        <v>1081</v>
      </c>
      <c r="K662" s="32" t="s">
        <v>129</v>
      </c>
      <c r="L662" s="32" t="s">
        <v>1082</v>
      </c>
      <c r="M662" s="32" t="s">
        <v>1083</v>
      </c>
      <c r="N662" s="40">
        <v>1985</v>
      </c>
      <c r="O662" s="32">
        <f>VLOOKUP(Data!N559, CPI!$A$2:$B$112, 2, 0)</f>
        <v>237.017</v>
      </c>
      <c r="P662" s="32" t="s">
        <v>132</v>
      </c>
      <c r="Q662" s="32" t="s">
        <v>239</v>
      </c>
      <c r="R662" s="32" t="s">
        <v>1096</v>
      </c>
      <c r="S662" s="32">
        <v>3860000</v>
      </c>
      <c r="T662" s="32" t="s">
        <v>300</v>
      </c>
      <c r="U662" s="32">
        <f t="shared" si="39"/>
        <v>146.33961405770179</v>
      </c>
      <c r="V662" s="32" t="s">
        <v>316</v>
      </c>
      <c r="X662" s="32">
        <f t="shared" si="40"/>
        <v>146.33961405770179</v>
      </c>
      <c r="Y662" s="32">
        <f>(CPI!$B$112/O662)*X662</f>
        <v>188.11426187722779</v>
      </c>
      <c r="Z662" s="38" t="s">
        <v>262</v>
      </c>
      <c r="AA662" s="35" t="s">
        <v>1399</v>
      </c>
      <c r="AB662" s="32">
        <v>26377</v>
      </c>
      <c r="AC662" s="32" t="s">
        <v>1447</v>
      </c>
      <c r="AH662" s="32" t="s">
        <v>411</v>
      </c>
      <c r="AJ662" s="35" t="s">
        <v>2278</v>
      </c>
      <c r="AK662" s="40" t="s">
        <v>1103</v>
      </c>
      <c r="AL662" s="32">
        <v>2022</v>
      </c>
      <c r="AM662" s="32" t="s">
        <v>1104</v>
      </c>
      <c r="AN662" s="32" t="s">
        <v>1105</v>
      </c>
      <c r="AO662" s="38" t="s">
        <v>1106</v>
      </c>
      <c r="AP662" s="35" t="s">
        <v>396</v>
      </c>
    </row>
    <row r="663" spans="1:42" x14ac:dyDescent="0.2">
      <c r="A663" s="40">
        <v>66</v>
      </c>
      <c r="B663" s="40">
        <v>662</v>
      </c>
      <c r="C663" s="40" t="s">
        <v>119</v>
      </c>
      <c r="D663" s="38" t="s">
        <v>128</v>
      </c>
      <c r="E663" s="32" t="s">
        <v>2184</v>
      </c>
      <c r="F663" s="32" t="s">
        <v>43</v>
      </c>
      <c r="G663" s="54" t="s">
        <v>46</v>
      </c>
      <c r="H663" s="32" t="s">
        <v>242</v>
      </c>
      <c r="I663" s="32" t="s">
        <v>243</v>
      </c>
      <c r="J663" s="32" t="s">
        <v>1081</v>
      </c>
      <c r="K663" s="32" t="s">
        <v>129</v>
      </c>
      <c r="L663" s="32" t="s">
        <v>1082</v>
      </c>
      <c r="M663" s="32" t="s">
        <v>1083</v>
      </c>
      <c r="N663" s="40">
        <v>1985</v>
      </c>
      <c r="O663" s="32">
        <f>VLOOKUP(Data!N560, CPI!$A$2:$B$112, 2, 0)</f>
        <v>237.017</v>
      </c>
      <c r="P663" s="32" t="s">
        <v>132</v>
      </c>
      <c r="Q663" s="32" t="s">
        <v>239</v>
      </c>
      <c r="R663" s="32" t="s">
        <v>1097</v>
      </c>
      <c r="S663" s="32">
        <v>850000</v>
      </c>
      <c r="T663" s="32" t="s">
        <v>300</v>
      </c>
      <c r="U663" s="32">
        <f t="shared" si="39"/>
        <v>32.225044546385107</v>
      </c>
      <c r="V663" s="32" t="s">
        <v>316</v>
      </c>
      <c r="X663" s="32">
        <f t="shared" si="40"/>
        <v>32.225044546385107</v>
      </c>
      <c r="Y663" s="32">
        <f>(CPI!$B$112/O663)*X663</f>
        <v>41.424125024778135</v>
      </c>
      <c r="Z663" s="38" t="s">
        <v>262</v>
      </c>
      <c r="AA663" s="35" t="s">
        <v>1399</v>
      </c>
      <c r="AB663" s="32">
        <v>26377</v>
      </c>
      <c r="AC663" s="32" t="s">
        <v>1447</v>
      </c>
      <c r="AH663" s="32" t="s">
        <v>411</v>
      </c>
      <c r="AJ663" s="35" t="s">
        <v>2278</v>
      </c>
      <c r="AK663" s="40" t="s">
        <v>1103</v>
      </c>
      <c r="AL663" s="32">
        <v>2022</v>
      </c>
      <c r="AM663" s="32" t="s">
        <v>1104</v>
      </c>
      <c r="AN663" s="32" t="s">
        <v>1105</v>
      </c>
      <c r="AO663" s="38" t="s">
        <v>1106</v>
      </c>
      <c r="AP663" s="35" t="s">
        <v>396</v>
      </c>
    </row>
    <row r="664" spans="1:42" x14ac:dyDescent="0.2">
      <c r="A664" s="40">
        <v>66</v>
      </c>
      <c r="B664" s="40">
        <v>663</v>
      </c>
      <c r="C664" s="40" t="s">
        <v>119</v>
      </c>
      <c r="D664" s="38" t="s">
        <v>128</v>
      </c>
      <c r="E664" s="32" t="s">
        <v>2186</v>
      </c>
      <c r="F664" s="32" t="s">
        <v>2185</v>
      </c>
      <c r="G664" s="38" t="s">
        <v>2957</v>
      </c>
      <c r="H664" s="32" t="s">
        <v>242</v>
      </c>
      <c r="I664" s="32" t="s">
        <v>243</v>
      </c>
      <c r="J664" s="32" t="s">
        <v>1081</v>
      </c>
      <c r="K664" s="32" t="s">
        <v>129</v>
      </c>
      <c r="L664" s="32" t="s">
        <v>1082</v>
      </c>
      <c r="M664" s="32" t="s">
        <v>1083</v>
      </c>
      <c r="N664" s="40">
        <v>1985</v>
      </c>
      <c r="O664" s="32">
        <f>VLOOKUP(Data!N561, CPI!$A$2:$B$112, 2, 0)</f>
        <v>237.017</v>
      </c>
      <c r="P664" s="32" t="s">
        <v>132</v>
      </c>
      <c r="Q664" s="32" t="s">
        <v>239</v>
      </c>
      <c r="R664" s="32" t="s">
        <v>1098</v>
      </c>
      <c r="S664" s="32">
        <v>1340000</v>
      </c>
      <c r="T664" s="32" t="s">
        <v>300</v>
      </c>
      <c r="U664" s="32">
        <f t="shared" si="39"/>
        <v>50.801834931948285</v>
      </c>
      <c r="V664" s="32" t="s">
        <v>316</v>
      </c>
      <c r="X664" s="32">
        <f t="shared" si="40"/>
        <v>50.801834931948285</v>
      </c>
      <c r="Y664" s="32">
        <f>(CPI!$B$112/O664)*X664</f>
        <v>65.30391474494435</v>
      </c>
      <c r="Z664" s="38" t="s">
        <v>262</v>
      </c>
      <c r="AA664" s="35" t="s">
        <v>1399</v>
      </c>
      <c r="AB664" s="32">
        <v>26377</v>
      </c>
      <c r="AC664" s="32" t="s">
        <v>1447</v>
      </c>
      <c r="AH664" s="32" t="s">
        <v>411</v>
      </c>
      <c r="AJ664" s="35" t="s">
        <v>2278</v>
      </c>
      <c r="AK664" s="40" t="s">
        <v>1103</v>
      </c>
      <c r="AL664" s="32">
        <v>2022</v>
      </c>
      <c r="AM664" s="32" t="s">
        <v>1104</v>
      </c>
      <c r="AN664" s="32" t="s">
        <v>1105</v>
      </c>
      <c r="AO664" s="38" t="s">
        <v>1106</v>
      </c>
      <c r="AP664" s="35" t="s">
        <v>396</v>
      </c>
    </row>
    <row r="665" spans="1:42" x14ac:dyDescent="0.2">
      <c r="A665" s="40">
        <v>66</v>
      </c>
      <c r="B665" s="40">
        <v>664</v>
      </c>
      <c r="C665" s="40" t="s">
        <v>119</v>
      </c>
      <c r="D665" s="38" t="s">
        <v>128</v>
      </c>
      <c r="E665" s="32" t="s">
        <v>2887</v>
      </c>
      <c r="F665" s="32" t="s">
        <v>121</v>
      </c>
      <c r="G665" s="38" t="s">
        <v>121</v>
      </c>
      <c r="H665" s="32" t="s">
        <v>242</v>
      </c>
      <c r="I665" s="32" t="s">
        <v>243</v>
      </c>
      <c r="J665" s="32" t="s">
        <v>1081</v>
      </c>
      <c r="K665" s="32" t="s">
        <v>129</v>
      </c>
      <c r="L665" s="32" t="s">
        <v>1082</v>
      </c>
      <c r="M665" s="32" t="s">
        <v>1083</v>
      </c>
      <c r="N665" s="40">
        <v>1985</v>
      </c>
      <c r="O665" s="32">
        <f>VLOOKUP(Data!N562, CPI!$A$2:$B$112, 2, 0)</f>
        <v>237.017</v>
      </c>
      <c r="P665" s="32" t="s">
        <v>132</v>
      </c>
      <c r="Q665" s="32" t="s">
        <v>239</v>
      </c>
      <c r="R665" s="32" t="s">
        <v>1100</v>
      </c>
      <c r="S665" s="32">
        <v>440000</v>
      </c>
      <c r="T665" s="32" t="s">
        <v>300</v>
      </c>
      <c r="U665" s="32">
        <f t="shared" si="39"/>
        <v>16.681199529893469</v>
      </c>
      <c r="V665" s="32" t="s">
        <v>316</v>
      </c>
      <c r="X665" s="32">
        <f t="shared" ref="X665:X699" si="41">U665</f>
        <v>16.681199529893469</v>
      </c>
      <c r="Y665" s="32">
        <f>(CPI!$B$112/O665)*X665</f>
        <v>21.443076483414568</v>
      </c>
      <c r="Z665" s="38" t="s">
        <v>262</v>
      </c>
      <c r="AA665" s="35" t="s">
        <v>1399</v>
      </c>
      <c r="AB665" s="32">
        <v>26377</v>
      </c>
      <c r="AC665" s="32" t="s">
        <v>1447</v>
      </c>
      <c r="AH665" s="32" t="s">
        <v>411</v>
      </c>
      <c r="AJ665" s="35" t="s">
        <v>2278</v>
      </c>
      <c r="AK665" s="40" t="s">
        <v>1103</v>
      </c>
      <c r="AL665" s="32">
        <v>2022</v>
      </c>
      <c r="AM665" s="32" t="s">
        <v>1104</v>
      </c>
      <c r="AN665" s="32" t="s">
        <v>1105</v>
      </c>
      <c r="AO665" s="38" t="s">
        <v>1106</v>
      </c>
      <c r="AP665" s="35" t="s">
        <v>396</v>
      </c>
    </row>
    <row r="666" spans="1:42" x14ac:dyDescent="0.2">
      <c r="A666" s="40">
        <v>66</v>
      </c>
      <c r="B666" s="40">
        <v>665</v>
      </c>
      <c r="C666" s="40" t="s">
        <v>119</v>
      </c>
      <c r="D666" s="38" t="s">
        <v>128</v>
      </c>
      <c r="E666" s="32" t="s">
        <v>2186</v>
      </c>
      <c r="F666" s="59" t="s">
        <v>2959</v>
      </c>
      <c r="G666" s="54" t="s">
        <v>2895</v>
      </c>
      <c r="H666" s="32" t="s">
        <v>242</v>
      </c>
      <c r="I666" s="32" t="s">
        <v>243</v>
      </c>
      <c r="J666" s="32" t="s">
        <v>1081</v>
      </c>
      <c r="K666" s="32" t="s">
        <v>129</v>
      </c>
      <c r="L666" s="32" t="s">
        <v>1082</v>
      </c>
      <c r="M666" s="32" t="s">
        <v>1083</v>
      </c>
      <c r="N666" s="40">
        <v>1985</v>
      </c>
      <c r="O666" s="32">
        <f>VLOOKUP(Data!N563, CPI!$A$2:$B$112, 2, 0)</f>
        <v>237.017</v>
      </c>
      <c r="P666" s="32" t="s">
        <v>132</v>
      </c>
      <c r="Q666" s="32" t="s">
        <v>239</v>
      </c>
      <c r="R666" s="32" t="s">
        <v>1099</v>
      </c>
      <c r="S666" s="32">
        <v>150000</v>
      </c>
      <c r="T666" s="32" t="s">
        <v>300</v>
      </c>
      <c r="U666" s="32">
        <f t="shared" si="39"/>
        <v>5.6867725670091369</v>
      </c>
      <c r="V666" s="32" t="s">
        <v>316</v>
      </c>
      <c r="X666" s="32">
        <f t="shared" si="41"/>
        <v>5.6867725670091369</v>
      </c>
      <c r="Y666" s="32">
        <f>(CPI!$B$112/O666)*X666</f>
        <v>7.3101397102549655</v>
      </c>
      <c r="Z666" s="38" t="s">
        <v>262</v>
      </c>
      <c r="AA666" s="35" t="s">
        <v>1399</v>
      </c>
      <c r="AB666" s="32">
        <v>26377</v>
      </c>
      <c r="AC666" s="32" t="s">
        <v>1447</v>
      </c>
      <c r="AH666" s="32" t="s">
        <v>411</v>
      </c>
      <c r="AJ666" s="35" t="s">
        <v>2278</v>
      </c>
      <c r="AK666" s="40" t="s">
        <v>1103</v>
      </c>
      <c r="AL666" s="32">
        <v>2022</v>
      </c>
      <c r="AM666" s="32" t="s">
        <v>1104</v>
      </c>
      <c r="AN666" s="32" t="s">
        <v>1105</v>
      </c>
      <c r="AO666" s="38" t="s">
        <v>1106</v>
      </c>
      <c r="AP666" s="35" t="s">
        <v>396</v>
      </c>
    </row>
    <row r="667" spans="1:42" x14ac:dyDescent="0.2">
      <c r="A667" s="40">
        <v>66</v>
      </c>
      <c r="B667" s="40">
        <v>666</v>
      </c>
      <c r="C667" s="40" t="s">
        <v>119</v>
      </c>
      <c r="D667" s="38" t="s">
        <v>128</v>
      </c>
      <c r="E667" s="32" t="s">
        <v>2186</v>
      </c>
      <c r="F667" s="32" t="s">
        <v>29</v>
      </c>
      <c r="G667" s="38" t="s">
        <v>29</v>
      </c>
      <c r="H667" s="32" t="s">
        <v>242</v>
      </c>
      <c r="I667" s="32" t="s">
        <v>243</v>
      </c>
      <c r="J667" s="32" t="s">
        <v>1081</v>
      </c>
      <c r="K667" s="32" t="s">
        <v>129</v>
      </c>
      <c r="L667" s="32" t="s">
        <v>1082</v>
      </c>
      <c r="M667" s="32" t="s">
        <v>1083</v>
      </c>
      <c r="N667" s="40">
        <v>1985</v>
      </c>
      <c r="O667" s="32">
        <f>VLOOKUP(Data!N564, CPI!$A$2:$B$112, 2, 0)</f>
        <v>237.017</v>
      </c>
      <c r="P667" s="32" t="s">
        <v>132</v>
      </c>
      <c r="Q667" s="32" t="s">
        <v>239</v>
      </c>
      <c r="R667" s="32" t="s">
        <v>532</v>
      </c>
      <c r="S667" s="32">
        <v>121220000</v>
      </c>
      <c r="T667" s="32" t="s">
        <v>300</v>
      </c>
      <c r="U667" s="32">
        <f t="shared" si="39"/>
        <v>4595.6704704856502</v>
      </c>
      <c r="V667" s="32" t="s">
        <v>316</v>
      </c>
      <c r="X667" s="32">
        <f t="shared" si="41"/>
        <v>4595.6704704856502</v>
      </c>
      <c r="Y667" s="32">
        <f>(CPI!$B$112/O667)*X667</f>
        <v>5907.5675711807125</v>
      </c>
      <c r="Z667" s="38" t="s">
        <v>262</v>
      </c>
      <c r="AA667" s="35" t="s">
        <v>1399</v>
      </c>
      <c r="AB667" s="32">
        <v>26377</v>
      </c>
      <c r="AC667" s="32" t="s">
        <v>1447</v>
      </c>
      <c r="AH667" s="32" t="s">
        <v>411</v>
      </c>
      <c r="AJ667" s="35" t="s">
        <v>2278</v>
      </c>
      <c r="AK667" s="40" t="s">
        <v>1103</v>
      </c>
      <c r="AL667" s="32">
        <v>2022</v>
      </c>
      <c r="AM667" s="32" t="s">
        <v>1104</v>
      </c>
      <c r="AN667" s="32" t="s">
        <v>1105</v>
      </c>
      <c r="AO667" s="38" t="s">
        <v>1106</v>
      </c>
      <c r="AP667" s="35" t="s">
        <v>396</v>
      </c>
    </row>
    <row r="668" spans="1:42" x14ac:dyDescent="0.2">
      <c r="A668" s="40">
        <v>66</v>
      </c>
      <c r="B668" s="40">
        <v>667</v>
      </c>
      <c r="C668" s="40" t="s">
        <v>119</v>
      </c>
      <c r="D668" s="38" t="s">
        <v>128</v>
      </c>
      <c r="E668" s="32" t="s">
        <v>2186</v>
      </c>
      <c r="F668" s="59" t="s">
        <v>29</v>
      </c>
      <c r="G668" s="54" t="s">
        <v>29</v>
      </c>
      <c r="H668" s="32" t="s">
        <v>242</v>
      </c>
      <c r="I668" s="32" t="s">
        <v>243</v>
      </c>
      <c r="J668" s="32" t="s">
        <v>1081</v>
      </c>
      <c r="K668" s="32" t="s">
        <v>129</v>
      </c>
      <c r="L668" s="32" t="s">
        <v>1082</v>
      </c>
      <c r="M668" s="32" t="s">
        <v>1083</v>
      </c>
      <c r="N668" s="40">
        <v>2022</v>
      </c>
      <c r="O668" s="32">
        <f>VLOOKUP(Data!N565, CPI!$A$2:$B$112, 2, 0)</f>
        <v>258.81099999999998</v>
      </c>
      <c r="P668" s="32" t="s">
        <v>132</v>
      </c>
      <c r="Q668" s="32" t="s">
        <v>239</v>
      </c>
      <c r="R668" s="32" t="s">
        <v>532</v>
      </c>
      <c r="S668" s="32">
        <v>112540000</v>
      </c>
      <c r="T668" s="32" t="s">
        <v>300</v>
      </c>
      <c r="U668" s="32">
        <f t="shared" si="39"/>
        <v>4266.5958979413881</v>
      </c>
      <c r="V668" s="32" t="s">
        <v>316</v>
      </c>
      <c r="X668" s="32">
        <f t="shared" si="41"/>
        <v>4266.5958979413881</v>
      </c>
      <c r="Y668" s="32">
        <f>(CPI!$B$112/O668)*X668</f>
        <v>5022.7098993014752</v>
      </c>
      <c r="Z668" s="38" t="s">
        <v>262</v>
      </c>
      <c r="AA668" s="35" t="s">
        <v>1399</v>
      </c>
      <c r="AB668" s="32">
        <v>26377</v>
      </c>
      <c r="AC668" s="32" t="s">
        <v>1447</v>
      </c>
      <c r="AH668" s="32" t="s">
        <v>411</v>
      </c>
      <c r="AJ668" s="35" t="s">
        <v>2278</v>
      </c>
      <c r="AK668" s="40" t="s">
        <v>1103</v>
      </c>
      <c r="AL668" s="32">
        <v>2022</v>
      </c>
      <c r="AM668" s="32" t="s">
        <v>1104</v>
      </c>
      <c r="AN668" s="32" t="s">
        <v>1105</v>
      </c>
      <c r="AO668" s="38" t="s">
        <v>1106</v>
      </c>
      <c r="AP668" s="35" t="s">
        <v>396</v>
      </c>
    </row>
    <row r="669" spans="1:42" x14ac:dyDescent="0.2">
      <c r="A669" s="40">
        <v>67</v>
      </c>
      <c r="B669" s="40">
        <v>668</v>
      </c>
      <c r="C669" s="40" t="s">
        <v>114</v>
      </c>
      <c r="D669" s="38" t="s">
        <v>218</v>
      </c>
      <c r="E669" s="32" t="s">
        <v>2186</v>
      </c>
      <c r="F669" s="32" t="s">
        <v>21</v>
      </c>
      <c r="G669" s="38" t="s">
        <v>163</v>
      </c>
      <c r="H669" s="32" t="s">
        <v>115</v>
      </c>
      <c r="I669" s="32" t="s">
        <v>243</v>
      </c>
      <c r="J669" s="32" t="s">
        <v>1107</v>
      </c>
      <c r="K669" s="32" t="s">
        <v>129</v>
      </c>
      <c r="L669" s="32" t="s">
        <v>30</v>
      </c>
      <c r="M669" s="32" t="s">
        <v>30</v>
      </c>
      <c r="N669" s="40">
        <v>2010</v>
      </c>
      <c r="O669" s="32">
        <f>VLOOKUP(Data!N566, CPI!$A$2:$B$112, 2, 0)</f>
        <v>258.81099999999998</v>
      </c>
      <c r="P669" s="32" t="s">
        <v>238</v>
      </c>
      <c r="Q669" s="32" t="s">
        <v>239</v>
      </c>
      <c r="R669" s="32" t="s">
        <v>1108</v>
      </c>
      <c r="S669" s="32">
        <v>6819</v>
      </c>
      <c r="T669" s="32" t="s">
        <v>316</v>
      </c>
      <c r="U669" s="32">
        <v>6819</v>
      </c>
      <c r="V669" s="32" t="s">
        <v>316</v>
      </c>
      <c r="X669" s="32">
        <f t="shared" si="41"/>
        <v>6819</v>
      </c>
      <c r="Y669" s="32">
        <f>(CPI!$B$112/O669)*X669</f>
        <v>8027.4438035864032</v>
      </c>
      <c r="Z669" s="38" t="s">
        <v>262</v>
      </c>
      <c r="AA669" s="35" t="s">
        <v>1425</v>
      </c>
      <c r="AB669" s="32">
        <v>8384700</v>
      </c>
      <c r="AC669" s="32" t="s">
        <v>2291</v>
      </c>
      <c r="AH669" s="32" t="s">
        <v>411</v>
      </c>
      <c r="AK669" s="40" t="s">
        <v>1139</v>
      </c>
      <c r="AL669" s="32">
        <v>2013</v>
      </c>
      <c r="AM669" s="32" t="s">
        <v>1140</v>
      </c>
      <c r="AN669" s="32" t="s">
        <v>1141</v>
      </c>
      <c r="AO669" s="38" t="s">
        <v>1142</v>
      </c>
      <c r="AP669" s="35" t="s">
        <v>396</v>
      </c>
    </row>
    <row r="670" spans="1:42" x14ac:dyDescent="0.2">
      <c r="A670" s="40">
        <v>67</v>
      </c>
      <c r="B670" s="40">
        <v>669</v>
      </c>
      <c r="C670" s="40" t="s">
        <v>114</v>
      </c>
      <c r="D670" s="38" t="s">
        <v>218</v>
      </c>
      <c r="E670" s="32" t="s">
        <v>2186</v>
      </c>
      <c r="F670" s="32" t="s">
        <v>21</v>
      </c>
      <c r="G670" s="38" t="s">
        <v>163</v>
      </c>
      <c r="H670" s="32" t="s">
        <v>115</v>
      </c>
      <c r="I670" s="32" t="s">
        <v>243</v>
      </c>
      <c r="J670" s="32" t="s">
        <v>1107</v>
      </c>
      <c r="K670" s="32" t="s">
        <v>129</v>
      </c>
      <c r="L670" s="32" t="s">
        <v>30</v>
      </c>
      <c r="M670" s="32" t="s">
        <v>30</v>
      </c>
      <c r="N670" s="40">
        <v>2010</v>
      </c>
      <c r="O670" s="32">
        <f>VLOOKUP(Data!N567, CPI!$A$2:$B$112, 2, 0)</f>
        <v>258.81099999999998</v>
      </c>
      <c r="P670" s="32" t="s">
        <v>238</v>
      </c>
      <c r="Q670" s="32" t="s">
        <v>239</v>
      </c>
      <c r="R670" s="32" t="s">
        <v>1109</v>
      </c>
      <c r="S670" s="32">
        <v>11.2</v>
      </c>
      <c r="T670" s="32" t="s">
        <v>316</v>
      </c>
      <c r="U670" s="32">
        <v>11.2</v>
      </c>
      <c r="V670" s="32" t="s">
        <v>316</v>
      </c>
      <c r="X670" s="32">
        <f t="shared" si="41"/>
        <v>11.2</v>
      </c>
      <c r="Y670" s="32">
        <f>(CPI!$B$112/O670)*X670</f>
        <v>13.184832174830284</v>
      </c>
      <c r="Z670" s="38" t="s">
        <v>262</v>
      </c>
      <c r="AA670" s="35" t="s">
        <v>1425</v>
      </c>
      <c r="AB670" s="32">
        <v>8384700</v>
      </c>
      <c r="AC670" s="32" t="s">
        <v>2291</v>
      </c>
      <c r="AH670" s="32" t="s">
        <v>411</v>
      </c>
      <c r="AK670" s="40" t="s">
        <v>1139</v>
      </c>
      <c r="AL670" s="32">
        <v>2013</v>
      </c>
      <c r="AM670" s="32" t="s">
        <v>1140</v>
      </c>
      <c r="AN670" s="32" t="s">
        <v>1141</v>
      </c>
      <c r="AO670" s="38" t="s">
        <v>1142</v>
      </c>
      <c r="AP670" s="35" t="s">
        <v>396</v>
      </c>
    </row>
    <row r="671" spans="1:42" x14ac:dyDescent="0.2">
      <c r="A671" s="40">
        <v>67</v>
      </c>
      <c r="B671" s="40">
        <v>670</v>
      </c>
      <c r="C671" s="40" t="s">
        <v>114</v>
      </c>
      <c r="D671" s="38" t="s">
        <v>218</v>
      </c>
      <c r="E671" s="32" t="s">
        <v>2183</v>
      </c>
      <c r="F671" s="32" t="s">
        <v>237</v>
      </c>
      <c r="G671" s="38" t="s">
        <v>1923</v>
      </c>
      <c r="H671" s="32" t="s">
        <v>115</v>
      </c>
      <c r="I671" s="32" t="s">
        <v>243</v>
      </c>
      <c r="J671" s="32" t="s">
        <v>1107</v>
      </c>
      <c r="K671" s="32" t="s">
        <v>129</v>
      </c>
      <c r="L671" s="32" t="s">
        <v>30</v>
      </c>
      <c r="M671" s="32" t="s">
        <v>30</v>
      </c>
      <c r="N671" s="40">
        <v>2010</v>
      </c>
      <c r="O671" s="32">
        <f>VLOOKUP(Data!N568, CPI!$A$2:$B$112, 2, 0)</f>
        <v>258.81099999999998</v>
      </c>
      <c r="P671" s="32" t="s">
        <v>238</v>
      </c>
      <c r="Q671" s="32" t="s">
        <v>239</v>
      </c>
      <c r="R671" s="32" t="s">
        <v>1110</v>
      </c>
      <c r="S671" s="32">
        <v>1567</v>
      </c>
      <c r="T671" s="32" t="s">
        <v>316</v>
      </c>
      <c r="U671" s="32">
        <v>1567</v>
      </c>
      <c r="V671" s="32" t="s">
        <v>316</v>
      </c>
      <c r="X671" s="32">
        <f t="shared" si="41"/>
        <v>1567</v>
      </c>
      <c r="Y671" s="32">
        <f>(CPI!$B$112/O671)*X671</f>
        <v>1844.6992873177728</v>
      </c>
      <c r="Z671" s="38" t="s">
        <v>262</v>
      </c>
      <c r="AA671" s="35" t="s">
        <v>1425</v>
      </c>
      <c r="AB671" s="32">
        <v>8384700</v>
      </c>
      <c r="AC671" s="32" t="s">
        <v>2291</v>
      </c>
      <c r="AH671" s="32" t="s">
        <v>411</v>
      </c>
      <c r="AK671" s="40" t="s">
        <v>1139</v>
      </c>
      <c r="AL671" s="32">
        <v>2013</v>
      </c>
      <c r="AM671" s="32" t="s">
        <v>1140</v>
      </c>
      <c r="AN671" s="32" t="s">
        <v>1141</v>
      </c>
      <c r="AO671" s="38" t="s">
        <v>1142</v>
      </c>
      <c r="AP671" s="35" t="s">
        <v>396</v>
      </c>
    </row>
    <row r="672" spans="1:42" x14ac:dyDescent="0.2">
      <c r="A672" s="40">
        <v>67</v>
      </c>
      <c r="B672" s="40">
        <v>671</v>
      </c>
      <c r="C672" s="40" t="s">
        <v>114</v>
      </c>
      <c r="D672" s="38" t="s">
        <v>218</v>
      </c>
      <c r="E672" s="32" t="s">
        <v>2887</v>
      </c>
      <c r="F672" s="32" t="s">
        <v>121</v>
      </c>
      <c r="G672" s="38" t="s">
        <v>123</v>
      </c>
      <c r="H672" s="32" t="s">
        <v>115</v>
      </c>
      <c r="I672" s="32" t="s">
        <v>243</v>
      </c>
      <c r="J672" s="32" t="s">
        <v>1107</v>
      </c>
      <c r="K672" s="32" t="s">
        <v>129</v>
      </c>
      <c r="L672" s="32" t="s">
        <v>30</v>
      </c>
      <c r="M672" s="32" t="s">
        <v>30</v>
      </c>
      <c r="N672" s="40">
        <v>2010</v>
      </c>
      <c r="O672" s="32">
        <f>VLOOKUP(Data!N569, CPI!$A$2:$B$112, 2, 0)</f>
        <v>258.81099999999998</v>
      </c>
      <c r="P672" s="32" t="s">
        <v>238</v>
      </c>
      <c r="Q672" s="32" t="s">
        <v>239</v>
      </c>
      <c r="R672" s="32" t="s">
        <v>1111</v>
      </c>
      <c r="S672" s="32">
        <v>2.23</v>
      </c>
      <c r="T672" s="32" t="s">
        <v>316</v>
      </c>
      <c r="U672" s="32">
        <v>2.23</v>
      </c>
      <c r="V672" s="32" t="s">
        <v>316</v>
      </c>
      <c r="X672" s="32">
        <f t="shared" si="41"/>
        <v>2.23</v>
      </c>
      <c r="Y672" s="32">
        <f>(CPI!$B$112/O672)*X672</f>
        <v>2.6251942633813869</v>
      </c>
      <c r="Z672" s="38" t="s">
        <v>262</v>
      </c>
      <c r="AA672" s="35" t="s">
        <v>1425</v>
      </c>
      <c r="AB672" s="32">
        <v>8384700</v>
      </c>
      <c r="AC672" s="32" t="s">
        <v>2291</v>
      </c>
      <c r="AH672" s="32" t="s">
        <v>411</v>
      </c>
      <c r="AK672" s="40" t="s">
        <v>1139</v>
      </c>
      <c r="AL672" s="32">
        <v>2013</v>
      </c>
      <c r="AM672" s="32" t="s">
        <v>1140</v>
      </c>
      <c r="AN672" s="32" t="s">
        <v>1141</v>
      </c>
      <c r="AO672" s="38" t="s">
        <v>1142</v>
      </c>
      <c r="AP672" s="35" t="s">
        <v>396</v>
      </c>
    </row>
    <row r="673" spans="1:42" x14ac:dyDescent="0.2">
      <c r="A673" s="40">
        <v>67</v>
      </c>
      <c r="B673" s="40">
        <v>672</v>
      </c>
      <c r="C673" s="40" t="s">
        <v>114</v>
      </c>
      <c r="D673" s="38" t="s">
        <v>218</v>
      </c>
      <c r="E673" s="32" t="s">
        <v>2186</v>
      </c>
      <c r="F673" s="32" t="s">
        <v>21</v>
      </c>
      <c r="G673" s="38" t="s">
        <v>163</v>
      </c>
      <c r="H673" s="32" t="s">
        <v>115</v>
      </c>
      <c r="I673" s="32" t="s">
        <v>243</v>
      </c>
      <c r="J673" s="32" t="s">
        <v>1107</v>
      </c>
      <c r="K673" s="32" t="s">
        <v>129</v>
      </c>
      <c r="L673" s="32" t="s">
        <v>30</v>
      </c>
      <c r="M673" s="32" t="s">
        <v>30</v>
      </c>
      <c r="N673" s="40">
        <v>2010</v>
      </c>
      <c r="O673" s="32">
        <f>VLOOKUP(Data!N570, CPI!$A$2:$B$112, 2, 0)</f>
        <v>258.81099999999998</v>
      </c>
      <c r="P673" s="32" t="s">
        <v>238</v>
      </c>
      <c r="Q673" s="32" t="s">
        <v>239</v>
      </c>
      <c r="R673" s="32" t="s">
        <v>1112</v>
      </c>
      <c r="S673" s="32">
        <v>2408</v>
      </c>
      <c r="T673" s="32" t="s">
        <v>316</v>
      </c>
      <c r="U673" s="32">
        <v>2408</v>
      </c>
      <c r="V673" s="32" t="s">
        <v>316</v>
      </c>
      <c r="X673" s="32">
        <f t="shared" si="41"/>
        <v>2408</v>
      </c>
      <c r="Y673" s="32">
        <f>(CPI!$B$112/O673)*X673</f>
        <v>2834.7389175885114</v>
      </c>
      <c r="Z673" s="38" t="s">
        <v>262</v>
      </c>
      <c r="AA673" s="35" t="s">
        <v>1425</v>
      </c>
      <c r="AB673" s="32">
        <v>8384700</v>
      </c>
      <c r="AC673" s="32" t="s">
        <v>2291</v>
      </c>
      <c r="AH673" s="32" t="s">
        <v>411</v>
      </c>
      <c r="AK673" s="40" t="s">
        <v>1139</v>
      </c>
      <c r="AL673" s="32">
        <v>2013</v>
      </c>
      <c r="AM673" s="32" t="s">
        <v>1140</v>
      </c>
      <c r="AN673" s="32" t="s">
        <v>1141</v>
      </c>
      <c r="AO673" s="38" t="s">
        <v>1142</v>
      </c>
      <c r="AP673" s="35" t="s">
        <v>396</v>
      </c>
    </row>
    <row r="674" spans="1:42" x14ac:dyDescent="0.2">
      <c r="A674" s="40">
        <v>67</v>
      </c>
      <c r="B674" s="40">
        <v>673</v>
      </c>
      <c r="C674" s="40" t="s">
        <v>114</v>
      </c>
      <c r="D674" s="38" t="s">
        <v>218</v>
      </c>
      <c r="E674" s="32" t="s">
        <v>2186</v>
      </c>
      <c r="F674" s="32" t="s">
        <v>21</v>
      </c>
      <c r="G674" s="38" t="s">
        <v>163</v>
      </c>
      <c r="H674" s="32" t="s">
        <v>115</v>
      </c>
      <c r="I674" s="32" t="s">
        <v>243</v>
      </c>
      <c r="J674" s="32" t="s">
        <v>1107</v>
      </c>
      <c r="K674" s="32" t="s">
        <v>129</v>
      </c>
      <c r="L674" s="32" t="s">
        <v>30</v>
      </c>
      <c r="M674" s="32" t="s">
        <v>30</v>
      </c>
      <c r="N674" s="40">
        <v>2010</v>
      </c>
      <c r="O674" s="32">
        <f>VLOOKUP(Data!N571, CPI!$A$2:$B$112, 2, 0)</f>
        <v>195.3</v>
      </c>
      <c r="P674" s="32" t="s">
        <v>238</v>
      </c>
      <c r="Q674" s="32" t="s">
        <v>239</v>
      </c>
      <c r="R674" s="32" t="s">
        <v>1113</v>
      </c>
      <c r="S674" s="32">
        <v>29.6</v>
      </c>
      <c r="T674" s="32" t="s">
        <v>316</v>
      </c>
      <c r="U674" s="32">
        <v>29.6</v>
      </c>
      <c r="V674" s="32" t="s">
        <v>316</v>
      </c>
      <c r="X674" s="32">
        <f t="shared" si="41"/>
        <v>29.6</v>
      </c>
      <c r="Y674" s="32">
        <f>(CPI!$B$112/O674)*X674</f>
        <v>46.17732616487455</v>
      </c>
      <c r="Z674" s="38" t="s">
        <v>262</v>
      </c>
      <c r="AA674" s="35" t="s">
        <v>1425</v>
      </c>
      <c r="AB674" s="32">
        <v>8384700</v>
      </c>
      <c r="AC674" s="32" t="s">
        <v>2291</v>
      </c>
      <c r="AH674" s="32" t="s">
        <v>411</v>
      </c>
      <c r="AK674" s="40" t="s">
        <v>1139</v>
      </c>
      <c r="AL674" s="32">
        <v>2013</v>
      </c>
      <c r="AM674" s="32" t="s">
        <v>1140</v>
      </c>
      <c r="AN674" s="32" t="s">
        <v>1141</v>
      </c>
      <c r="AO674" s="38" t="s">
        <v>1142</v>
      </c>
      <c r="AP674" s="35" t="s">
        <v>396</v>
      </c>
    </row>
    <row r="675" spans="1:42" x14ac:dyDescent="0.2">
      <c r="A675" s="40">
        <v>67</v>
      </c>
      <c r="B675" s="40">
        <v>674</v>
      </c>
      <c r="C675" s="40" t="s">
        <v>114</v>
      </c>
      <c r="D675" s="38" t="s">
        <v>218</v>
      </c>
      <c r="E675" s="32" t="s">
        <v>2183</v>
      </c>
      <c r="F675" s="32" t="s">
        <v>237</v>
      </c>
      <c r="G675" s="38" t="s">
        <v>1923</v>
      </c>
      <c r="H675" s="32" t="s">
        <v>115</v>
      </c>
      <c r="I675" s="32" t="s">
        <v>243</v>
      </c>
      <c r="J675" s="32" t="s">
        <v>1107</v>
      </c>
      <c r="K675" s="32" t="s">
        <v>129</v>
      </c>
      <c r="L675" s="32" t="s">
        <v>30</v>
      </c>
      <c r="M675" s="32" t="s">
        <v>30</v>
      </c>
      <c r="N675" s="40">
        <v>2010</v>
      </c>
      <c r="O675" s="32">
        <f>VLOOKUP(Data!N572, CPI!$A$2:$B$112, 2, 0)</f>
        <v>195.3</v>
      </c>
      <c r="P675" s="32" t="s">
        <v>238</v>
      </c>
      <c r="Q675" s="32" t="s">
        <v>239</v>
      </c>
      <c r="R675" s="32" t="s">
        <v>1114</v>
      </c>
      <c r="S675" s="32">
        <v>1362</v>
      </c>
      <c r="T675" s="32" t="s">
        <v>316</v>
      </c>
      <c r="U675" s="32">
        <v>1362</v>
      </c>
      <c r="V675" s="32" t="s">
        <v>316</v>
      </c>
      <c r="X675" s="32">
        <f t="shared" si="41"/>
        <v>1362</v>
      </c>
      <c r="Y675" s="32">
        <f>(CPI!$B$112/O675)*X675</f>
        <v>2124.7810215053764</v>
      </c>
      <c r="Z675" s="38" t="s">
        <v>262</v>
      </c>
      <c r="AA675" s="35" t="s">
        <v>1425</v>
      </c>
      <c r="AB675" s="32">
        <v>8384700</v>
      </c>
      <c r="AC675" s="32" t="s">
        <v>2291</v>
      </c>
      <c r="AH675" s="32" t="s">
        <v>411</v>
      </c>
      <c r="AK675" s="40" t="s">
        <v>1139</v>
      </c>
      <c r="AL675" s="32">
        <v>2013</v>
      </c>
      <c r="AM675" s="32" t="s">
        <v>1140</v>
      </c>
      <c r="AN675" s="32" t="s">
        <v>1141</v>
      </c>
      <c r="AO675" s="38" t="s">
        <v>1142</v>
      </c>
      <c r="AP675" s="35" t="s">
        <v>396</v>
      </c>
    </row>
    <row r="676" spans="1:42" x14ac:dyDescent="0.2">
      <c r="A676" s="40">
        <v>67</v>
      </c>
      <c r="B676" s="40">
        <v>675</v>
      </c>
      <c r="C676" s="40" t="s">
        <v>114</v>
      </c>
      <c r="D676" s="38" t="s">
        <v>218</v>
      </c>
      <c r="E676" s="32" t="s">
        <v>2887</v>
      </c>
      <c r="F676" s="32" t="s">
        <v>121</v>
      </c>
      <c r="G676" s="38" t="s">
        <v>123</v>
      </c>
      <c r="H676" s="32" t="s">
        <v>115</v>
      </c>
      <c r="I676" s="32" t="s">
        <v>243</v>
      </c>
      <c r="J676" s="32" t="s">
        <v>1107</v>
      </c>
      <c r="K676" s="32" t="s">
        <v>129</v>
      </c>
      <c r="L676" s="32" t="s">
        <v>30</v>
      </c>
      <c r="M676" s="32" t="s">
        <v>30</v>
      </c>
      <c r="N676" s="40">
        <v>2010</v>
      </c>
      <c r="O676" s="32">
        <f>VLOOKUP(Data!N573, CPI!$A$2:$B$112, 2, 0)</f>
        <v>195.3</v>
      </c>
      <c r="P676" s="32" t="s">
        <v>238</v>
      </c>
      <c r="Q676" s="32" t="s">
        <v>239</v>
      </c>
      <c r="R676" s="32" t="s">
        <v>1115</v>
      </c>
      <c r="S676" s="32">
        <v>1.26</v>
      </c>
      <c r="T676" s="32" t="s">
        <v>316</v>
      </c>
      <c r="U676" s="32">
        <v>1.26</v>
      </c>
      <c r="V676" s="32" t="s">
        <v>316</v>
      </c>
      <c r="X676" s="32">
        <f t="shared" si="41"/>
        <v>1.26</v>
      </c>
      <c r="Y676" s="32">
        <f>(CPI!$B$112/O676)*X676</f>
        <v>1.9656564516129031</v>
      </c>
      <c r="Z676" s="38" t="s">
        <v>262</v>
      </c>
      <c r="AA676" s="35" t="s">
        <v>1425</v>
      </c>
      <c r="AB676" s="32">
        <v>8384700</v>
      </c>
      <c r="AC676" s="32" t="s">
        <v>2291</v>
      </c>
      <c r="AH676" s="32" t="s">
        <v>411</v>
      </c>
      <c r="AK676" s="40" t="s">
        <v>1139</v>
      </c>
      <c r="AL676" s="32">
        <v>2013</v>
      </c>
      <c r="AM676" s="32" t="s">
        <v>1140</v>
      </c>
      <c r="AN676" s="32" t="s">
        <v>1141</v>
      </c>
      <c r="AO676" s="38" t="s">
        <v>1142</v>
      </c>
      <c r="AP676" s="35" t="s">
        <v>396</v>
      </c>
    </row>
    <row r="677" spans="1:42" x14ac:dyDescent="0.2">
      <c r="A677" s="40">
        <v>67</v>
      </c>
      <c r="B677" s="40">
        <v>676</v>
      </c>
      <c r="C677" s="40" t="s">
        <v>114</v>
      </c>
      <c r="D677" s="38" t="s">
        <v>218</v>
      </c>
      <c r="E677" s="32" t="s">
        <v>2186</v>
      </c>
      <c r="F677" s="32" t="s">
        <v>21</v>
      </c>
      <c r="G677" s="38" t="s">
        <v>163</v>
      </c>
      <c r="H677" s="32" t="s">
        <v>115</v>
      </c>
      <c r="I677" s="32" t="s">
        <v>243</v>
      </c>
      <c r="J677" s="32" t="s">
        <v>1107</v>
      </c>
      <c r="K677" s="32" t="s">
        <v>129</v>
      </c>
      <c r="L677" s="32" t="s">
        <v>30</v>
      </c>
      <c r="M677" s="32" t="s">
        <v>30</v>
      </c>
      <c r="N677" s="40">
        <v>2010</v>
      </c>
      <c r="O677" s="32">
        <f>VLOOKUP(Data!N574, CPI!$A$2:$B$112, 2, 0)</f>
        <v>195.3</v>
      </c>
      <c r="P677" s="32" t="s">
        <v>238</v>
      </c>
      <c r="Q677" s="32" t="s">
        <v>239</v>
      </c>
      <c r="R677" s="32" t="s">
        <v>1116</v>
      </c>
      <c r="S677" s="32">
        <v>3760</v>
      </c>
      <c r="T677" s="32" t="s">
        <v>316</v>
      </c>
      <c r="U677" s="32">
        <v>3760</v>
      </c>
      <c r="V677" s="32" t="s">
        <v>316</v>
      </c>
      <c r="X677" s="32">
        <f t="shared" si="41"/>
        <v>3760</v>
      </c>
      <c r="Y677" s="32">
        <f>(CPI!$B$112/O677)*X677</f>
        <v>5865.7684587813619</v>
      </c>
      <c r="Z677" s="38" t="s">
        <v>262</v>
      </c>
      <c r="AA677" s="35" t="s">
        <v>1425</v>
      </c>
      <c r="AB677" s="32">
        <v>8384700</v>
      </c>
      <c r="AC677" s="32" t="s">
        <v>2291</v>
      </c>
      <c r="AH677" s="32" t="s">
        <v>411</v>
      </c>
      <c r="AK677" s="40" t="s">
        <v>1139</v>
      </c>
      <c r="AL677" s="32">
        <v>2013</v>
      </c>
      <c r="AM677" s="32" t="s">
        <v>1140</v>
      </c>
      <c r="AN677" s="32" t="s">
        <v>1141</v>
      </c>
      <c r="AO677" s="38" t="s">
        <v>1142</v>
      </c>
      <c r="AP677" s="35" t="s">
        <v>396</v>
      </c>
    </row>
    <row r="678" spans="1:42" x14ac:dyDescent="0.2">
      <c r="A678" s="40">
        <v>67</v>
      </c>
      <c r="B678" s="40">
        <v>677</v>
      </c>
      <c r="C678" s="40" t="s">
        <v>114</v>
      </c>
      <c r="D678" s="38" t="s">
        <v>218</v>
      </c>
      <c r="E678" s="32" t="s">
        <v>2186</v>
      </c>
      <c r="F678" s="32" t="s">
        <v>21</v>
      </c>
      <c r="G678" s="38" t="s">
        <v>163</v>
      </c>
      <c r="H678" s="32" t="s">
        <v>115</v>
      </c>
      <c r="I678" s="32" t="s">
        <v>243</v>
      </c>
      <c r="J678" s="32" t="s">
        <v>1107</v>
      </c>
      <c r="K678" s="32" t="s">
        <v>129</v>
      </c>
      <c r="L678" s="32" t="s">
        <v>30</v>
      </c>
      <c r="M678" s="32" t="s">
        <v>30</v>
      </c>
      <c r="N678" s="40">
        <v>2010</v>
      </c>
      <c r="O678" s="32">
        <f>VLOOKUP(Data!N575, CPI!$A$2:$B$112, 2, 0)</f>
        <v>195.3</v>
      </c>
      <c r="P678" s="32" t="s">
        <v>238</v>
      </c>
      <c r="Q678" s="32" t="s">
        <v>239</v>
      </c>
      <c r="R678" s="32" t="s">
        <v>1117</v>
      </c>
      <c r="S678" s="32">
        <v>56</v>
      </c>
      <c r="T678" s="32" t="s">
        <v>316</v>
      </c>
      <c r="U678" s="32">
        <v>56</v>
      </c>
      <c r="V678" s="32" t="s">
        <v>316</v>
      </c>
      <c r="X678" s="32">
        <f t="shared" si="41"/>
        <v>56</v>
      </c>
      <c r="Y678" s="32">
        <f>(CPI!$B$112/O678)*X678</f>
        <v>87.362508960573479</v>
      </c>
      <c r="Z678" s="38" t="s">
        <v>262</v>
      </c>
      <c r="AA678" s="35" t="s">
        <v>1425</v>
      </c>
      <c r="AB678" s="32">
        <v>8384700</v>
      </c>
      <c r="AC678" s="32" t="s">
        <v>2291</v>
      </c>
      <c r="AH678" s="32" t="s">
        <v>411</v>
      </c>
      <c r="AK678" s="40" t="s">
        <v>1139</v>
      </c>
      <c r="AL678" s="32">
        <v>2013</v>
      </c>
      <c r="AM678" s="32" t="s">
        <v>1140</v>
      </c>
      <c r="AN678" s="32" t="s">
        <v>1141</v>
      </c>
      <c r="AO678" s="38" t="s">
        <v>1142</v>
      </c>
      <c r="AP678" s="35" t="s">
        <v>396</v>
      </c>
    </row>
    <row r="679" spans="1:42" x14ac:dyDescent="0.2">
      <c r="A679" s="40">
        <v>67</v>
      </c>
      <c r="B679" s="40">
        <v>678</v>
      </c>
      <c r="C679" s="40" t="s">
        <v>114</v>
      </c>
      <c r="D679" s="38" t="s">
        <v>218</v>
      </c>
      <c r="E679" s="32" t="s">
        <v>2183</v>
      </c>
      <c r="F679" s="32" t="s">
        <v>237</v>
      </c>
      <c r="G679" s="38" t="s">
        <v>1923</v>
      </c>
      <c r="H679" s="32" t="s">
        <v>115</v>
      </c>
      <c r="I679" s="32" t="s">
        <v>243</v>
      </c>
      <c r="J679" s="32" t="s">
        <v>1107</v>
      </c>
      <c r="K679" s="32" t="s">
        <v>129</v>
      </c>
      <c r="L679" s="32" t="s">
        <v>30</v>
      </c>
      <c r="M679" s="32" t="s">
        <v>30</v>
      </c>
      <c r="N679" s="40">
        <v>2010</v>
      </c>
      <c r="O679" s="32">
        <f>VLOOKUP(Data!N576, CPI!$A$2:$B$112, 2, 0)</f>
        <v>195.3</v>
      </c>
      <c r="P679" s="32" t="s">
        <v>238</v>
      </c>
      <c r="Q679" s="32" t="s">
        <v>239</v>
      </c>
      <c r="R679" s="32" t="s">
        <v>1118</v>
      </c>
      <c r="S679" s="32">
        <v>1570</v>
      </c>
      <c r="T679" s="32" t="s">
        <v>316</v>
      </c>
      <c r="U679" s="32">
        <v>1570</v>
      </c>
      <c r="V679" s="32" t="s">
        <v>316</v>
      </c>
      <c r="X679" s="32">
        <f t="shared" si="41"/>
        <v>1570</v>
      </c>
      <c r="Y679" s="32">
        <f>(CPI!$B$112/O679)*X679</f>
        <v>2449.2703405017919</v>
      </c>
      <c r="Z679" s="38" t="s">
        <v>262</v>
      </c>
      <c r="AA679" s="35" t="s">
        <v>1425</v>
      </c>
      <c r="AB679" s="32">
        <v>8384700</v>
      </c>
      <c r="AC679" s="32" t="s">
        <v>2291</v>
      </c>
      <c r="AH679" s="32" t="s">
        <v>411</v>
      </c>
      <c r="AK679" s="40" t="s">
        <v>1139</v>
      </c>
      <c r="AL679" s="32">
        <v>2013</v>
      </c>
      <c r="AM679" s="32" t="s">
        <v>1140</v>
      </c>
      <c r="AN679" s="32" t="s">
        <v>1141</v>
      </c>
      <c r="AO679" s="38" t="s">
        <v>1142</v>
      </c>
      <c r="AP679" s="35" t="s">
        <v>396</v>
      </c>
    </row>
    <row r="680" spans="1:42" x14ac:dyDescent="0.2">
      <c r="A680" s="40">
        <v>67</v>
      </c>
      <c r="B680" s="40">
        <v>679</v>
      </c>
      <c r="C680" s="40" t="s">
        <v>114</v>
      </c>
      <c r="D680" s="38" t="s">
        <v>218</v>
      </c>
      <c r="E680" s="32" t="s">
        <v>2887</v>
      </c>
      <c r="F680" s="32" t="s">
        <v>121</v>
      </c>
      <c r="G680" s="35" t="s">
        <v>123</v>
      </c>
      <c r="H680" s="32" t="s">
        <v>115</v>
      </c>
      <c r="I680" s="32" t="s">
        <v>243</v>
      </c>
      <c r="J680" s="32" t="s">
        <v>1107</v>
      </c>
      <c r="K680" s="32" t="s">
        <v>129</v>
      </c>
      <c r="L680" s="32" t="s">
        <v>30</v>
      </c>
      <c r="M680" s="32" t="s">
        <v>30</v>
      </c>
      <c r="N680" s="40">
        <v>2010</v>
      </c>
      <c r="O680" s="32">
        <f>VLOOKUP(Data!N577, CPI!$A$2:$B$112, 2, 0)</f>
        <v>195.3</v>
      </c>
      <c r="P680" s="32" t="s">
        <v>238</v>
      </c>
      <c r="Q680" s="32" t="s">
        <v>239</v>
      </c>
      <c r="R680" s="32" t="s">
        <v>1119</v>
      </c>
      <c r="S680" s="32">
        <v>0.47</v>
      </c>
      <c r="T680" s="32" t="s">
        <v>316</v>
      </c>
      <c r="U680" s="32">
        <v>0.47</v>
      </c>
      <c r="V680" s="32" t="s">
        <v>316</v>
      </c>
      <c r="X680" s="32">
        <f t="shared" si="41"/>
        <v>0.47</v>
      </c>
      <c r="Y680" s="32">
        <f>(CPI!$B$112/O680)*X680</f>
        <v>0.73322105734767018</v>
      </c>
      <c r="Z680" s="38" t="s">
        <v>262</v>
      </c>
      <c r="AA680" s="35" t="s">
        <v>1425</v>
      </c>
      <c r="AB680" s="32">
        <v>8384700</v>
      </c>
      <c r="AC680" s="32" t="s">
        <v>2291</v>
      </c>
      <c r="AH680" s="32" t="s">
        <v>411</v>
      </c>
      <c r="AK680" s="40" t="s">
        <v>1139</v>
      </c>
      <c r="AL680" s="32">
        <v>2013</v>
      </c>
      <c r="AM680" s="32" t="s">
        <v>1140</v>
      </c>
      <c r="AN680" s="32" t="s">
        <v>1141</v>
      </c>
      <c r="AO680" s="38" t="s">
        <v>1142</v>
      </c>
      <c r="AP680" s="35" t="s">
        <v>396</v>
      </c>
    </row>
    <row r="681" spans="1:42" x14ac:dyDescent="0.2">
      <c r="A681" s="40">
        <v>67</v>
      </c>
      <c r="B681" s="40">
        <v>680</v>
      </c>
      <c r="C681" s="40" t="s">
        <v>114</v>
      </c>
      <c r="D681" s="38" t="s">
        <v>218</v>
      </c>
      <c r="E681" s="32" t="s">
        <v>2186</v>
      </c>
      <c r="F681" s="32" t="s">
        <v>21</v>
      </c>
      <c r="G681" s="38" t="s">
        <v>163</v>
      </c>
      <c r="H681" s="32" t="s">
        <v>115</v>
      </c>
      <c r="I681" s="32" t="s">
        <v>243</v>
      </c>
      <c r="J681" s="32" t="s">
        <v>1107</v>
      </c>
      <c r="K681" s="32" t="s">
        <v>129</v>
      </c>
      <c r="L681" s="32" t="s">
        <v>30</v>
      </c>
      <c r="M681" s="32" t="s">
        <v>30</v>
      </c>
      <c r="N681" s="40">
        <v>2010</v>
      </c>
      <c r="O681" s="32">
        <f>VLOOKUP(Data!N578, CPI!$A$2:$B$112, 2, 0)</f>
        <v>195.3</v>
      </c>
      <c r="P681" s="32" t="s">
        <v>238</v>
      </c>
      <c r="Q681" s="32" t="s">
        <v>239</v>
      </c>
      <c r="R681" s="32" t="s">
        <v>1120</v>
      </c>
      <c r="S681" s="32">
        <v>3238</v>
      </c>
      <c r="T681" s="32" t="s">
        <v>316</v>
      </c>
      <c r="U681" s="32">
        <v>3238</v>
      </c>
      <c r="V681" s="32" t="s">
        <v>316</v>
      </c>
      <c r="X681" s="32">
        <f t="shared" si="41"/>
        <v>3238</v>
      </c>
      <c r="Y681" s="32">
        <f>(CPI!$B$112/O681)*X681</f>
        <v>5051.4250716845872</v>
      </c>
      <c r="Z681" s="38" t="s">
        <v>262</v>
      </c>
      <c r="AA681" s="35" t="s">
        <v>1425</v>
      </c>
      <c r="AB681" s="32">
        <v>8384700</v>
      </c>
      <c r="AC681" s="32" t="s">
        <v>2291</v>
      </c>
      <c r="AH681" s="32" t="s">
        <v>411</v>
      </c>
      <c r="AK681" s="40" t="s">
        <v>1139</v>
      </c>
      <c r="AL681" s="32">
        <v>2013</v>
      </c>
      <c r="AM681" s="32" t="s">
        <v>1140</v>
      </c>
      <c r="AN681" s="32" t="s">
        <v>1141</v>
      </c>
      <c r="AO681" s="38" t="s">
        <v>1142</v>
      </c>
      <c r="AP681" s="35" t="s">
        <v>396</v>
      </c>
    </row>
    <row r="682" spans="1:42" x14ac:dyDescent="0.2">
      <c r="A682" s="40">
        <v>67</v>
      </c>
      <c r="B682" s="40">
        <v>681</v>
      </c>
      <c r="C682" s="40" t="s">
        <v>114</v>
      </c>
      <c r="D682" s="38" t="s">
        <v>218</v>
      </c>
      <c r="E682" s="32" t="s">
        <v>2186</v>
      </c>
      <c r="F682" s="32" t="s">
        <v>21</v>
      </c>
      <c r="G682" s="38" t="s">
        <v>163</v>
      </c>
      <c r="H682" s="32" t="s">
        <v>115</v>
      </c>
      <c r="I682" s="32" t="s">
        <v>243</v>
      </c>
      <c r="J682" s="32" t="s">
        <v>1107</v>
      </c>
      <c r="K682" s="32" t="s">
        <v>129</v>
      </c>
      <c r="L682" s="32" t="s">
        <v>30</v>
      </c>
      <c r="M682" s="32" t="s">
        <v>30</v>
      </c>
      <c r="N682" s="40">
        <v>2010</v>
      </c>
      <c r="O682" s="32">
        <f>VLOOKUP(Data!N579, CPI!$A$2:$B$112, 2, 0)</f>
        <v>195.3</v>
      </c>
      <c r="P682" s="32" t="s">
        <v>238</v>
      </c>
      <c r="Q682" s="32" t="s">
        <v>239</v>
      </c>
      <c r="R682" s="32" t="s">
        <v>1121</v>
      </c>
      <c r="S682" s="32">
        <v>38.700000000000003</v>
      </c>
      <c r="T682" s="32" t="s">
        <v>316</v>
      </c>
      <c r="U682" s="32">
        <v>38.700000000000003</v>
      </c>
      <c r="V682" s="32" t="s">
        <v>316</v>
      </c>
      <c r="X682" s="32">
        <f t="shared" si="41"/>
        <v>38.700000000000003</v>
      </c>
      <c r="Y682" s="32">
        <f>(CPI!$B$112/O682)*X682</f>
        <v>60.373733870967747</v>
      </c>
      <c r="Z682" s="38" t="s">
        <v>262</v>
      </c>
      <c r="AA682" s="35" t="s">
        <v>1425</v>
      </c>
      <c r="AB682" s="32">
        <v>8384700</v>
      </c>
      <c r="AC682" s="32" t="s">
        <v>2291</v>
      </c>
      <c r="AH682" s="32" t="s">
        <v>411</v>
      </c>
      <c r="AK682" s="40" t="s">
        <v>1139</v>
      </c>
      <c r="AL682" s="32">
        <v>2013</v>
      </c>
      <c r="AM682" s="32" t="s">
        <v>1140</v>
      </c>
      <c r="AN682" s="32" t="s">
        <v>1141</v>
      </c>
      <c r="AO682" s="38" t="s">
        <v>1142</v>
      </c>
      <c r="AP682" s="35" t="s">
        <v>396</v>
      </c>
    </row>
    <row r="683" spans="1:42" x14ac:dyDescent="0.2">
      <c r="A683" s="40">
        <v>67</v>
      </c>
      <c r="B683" s="40">
        <v>682</v>
      </c>
      <c r="C683" s="40" t="s">
        <v>114</v>
      </c>
      <c r="D683" s="38" t="s">
        <v>218</v>
      </c>
      <c r="E683" s="32" t="s">
        <v>2183</v>
      </c>
      <c r="F683" s="32" t="s">
        <v>237</v>
      </c>
      <c r="G683" s="38" t="s">
        <v>1923</v>
      </c>
      <c r="H683" s="32" t="s">
        <v>115</v>
      </c>
      <c r="I683" s="32" t="s">
        <v>243</v>
      </c>
      <c r="J683" s="32" t="s">
        <v>1107</v>
      </c>
      <c r="K683" s="32" t="s">
        <v>129</v>
      </c>
      <c r="L683" s="32" t="s">
        <v>30</v>
      </c>
      <c r="M683" s="32" t="s">
        <v>30</v>
      </c>
      <c r="N683" s="40">
        <v>2010</v>
      </c>
      <c r="O683" s="32">
        <f>VLOOKUP(Data!N580, CPI!$A$2:$B$112, 2, 0)</f>
        <v>195.3</v>
      </c>
      <c r="P683" s="32" t="s">
        <v>238</v>
      </c>
      <c r="Q683" s="32" t="s">
        <v>239</v>
      </c>
      <c r="R683" s="32" t="s">
        <v>1122</v>
      </c>
      <c r="S683" s="32">
        <v>1322</v>
      </c>
      <c r="T683" s="32" t="s">
        <v>316</v>
      </c>
      <c r="U683" s="32">
        <v>1322</v>
      </c>
      <c r="V683" s="32" t="s">
        <v>316</v>
      </c>
      <c r="X683" s="32">
        <f t="shared" si="41"/>
        <v>1322</v>
      </c>
      <c r="Y683" s="32">
        <f>(CPI!$B$112/O683)*X683</f>
        <v>2062.3792293906808</v>
      </c>
      <c r="Z683" s="38" t="s">
        <v>262</v>
      </c>
      <c r="AA683" s="35" t="s">
        <v>1425</v>
      </c>
      <c r="AB683" s="32">
        <v>8384700</v>
      </c>
      <c r="AC683" s="32" t="s">
        <v>2291</v>
      </c>
      <c r="AH683" s="32" t="s">
        <v>411</v>
      </c>
      <c r="AK683" s="40" t="s">
        <v>1139</v>
      </c>
      <c r="AL683" s="32">
        <v>2013</v>
      </c>
      <c r="AM683" s="32" t="s">
        <v>1140</v>
      </c>
      <c r="AN683" s="32" t="s">
        <v>1141</v>
      </c>
      <c r="AO683" s="38" t="s">
        <v>1142</v>
      </c>
      <c r="AP683" s="35" t="s">
        <v>396</v>
      </c>
    </row>
    <row r="684" spans="1:42" x14ac:dyDescent="0.2">
      <c r="A684" s="40">
        <v>67</v>
      </c>
      <c r="B684" s="40">
        <v>683</v>
      </c>
      <c r="C684" s="40" t="s">
        <v>114</v>
      </c>
      <c r="D684" s="38" t="s">
        <v>218</v>
      </c>
      <c r="E684" s="32" t="s">
        <v>2887</v>
      </c>
      <c r="F684" s="32" t="s">
        <v>121</v>
      </c>
      <c r="G684" s="38" t="s">
        <v>123</v>
      </c>
      <c r="H684" s="32" t="s">
        <v>115</v>
      </c>
      <c r="I684" s="32" t="s">
        <v>243</v>
      </c>
      <c r="J684" s="32" t="s">
        <v>1107</v>
      </c>
      <c r="K684" s="32" t="s">
        <v>129</v>
      </c>
      <c r="L684" s="32" t="s">
        <v>30</v>
      </c>
      <c r="M684" s="32" t="s">
        <v>30</v>
      </c>
      <c r="N684" s="40">
        <v>2010</v>
      </c>
      <c r="O684" s="32">
        <f>VLOOKUP(Data!N581, CPI!$A$2:$B$112, 2, 0)</f>
        <v>195.3</v>
      </c>
      <c r="P684" s="32" t="s">
        <v>238</v>
      </c>
      <c r="Q684" s="32" t="s">
        <v>239</v>
      </c>
      <c r="R684" s="32" t="s">
        <v>1123</v>
      </c>
      <c r="S684" s="32">
        <v>0.36</v>
      </c>
      <c r="T684" s="32" t="s">
        <v>316</v>
      </c>
      <c r="U684" s="32">
        <v>0.36</v>
      </c>
      <c r="V684" s="32" t="s">
        <v>316</v>
      </c>
      <c r="X684" s="32">
        <f t="shared" si="41"/>
        <v>0.36</v>
      </c>
      <c r="Y684" s="32">
        <f>(CPI!$B$112/O684)*X684</f>
        <v>0.56161612903225799</v>
      </c>
      <c r="Z684" s="38" t="s">
        <v>262</v>
      </c>
      <c r="AA684" s="35" t="s">
        <v>1425</v>
      </c>
      <c r="AB684" s="32">
        <v>8384700</v>
      </c>
      <c r="AC684" s="32" t="s">
        <v>2291</v>
      </c>
      <c r="AH684" s="32" t="s">
        <v>411</v>
      </c>
      <c r="AK684" s="40" t="s">
        <v>1139</v>
      </c>
      <c r="AL684" s="32">
        <v>2013</v>
      </c>
      <c r="AM684" s="32" t="s">
        <v>1140</v>
      </c>
      <c r="AN684" s="32" t="s">
        <v>1141</v>
      </c>
      <c r="AO684" s="38" t="s">
        <v>1142</v>
      </c>
      <c r="AP684" s="35" t="s">
        <v>396</v>
      </c>
    </row>
    <row r="685" spans="1:42" x14ac:dyDescent="0.2">
      <c r="A685" s="40">
        <v>67</v>
      </c>
      <c r="B685" s="40">
        <v>684</v>
      </c>
      <c r="C685" s="40" t="s">
        <v>114</v>
      </c>
      <c r="D685" s="38" t="s">
        <v>218</v>
      </c>
      <c r="E685" s="32" t="s">
        <v>2186</v>
      </c>
      <c r="F685" s="32" t="s">
        <v>21</v>
      </c>
      <c r="G685" s="38" t="s">
        <v>163</v>
      </c>
      <c r="H685" s="32" t="s">
        <v>115</v>
      </c>
      <c r="I685" s="32" t="s">
        <v>243</v>
      </c>
      <c r="J685" s="32" t="s">
        <v>1107</v>
      </c>
      <c r="K685" s="32" t="s">
        <v>129</v>
      </c>
      <c r="L685" s="32" t="s">
        <v>30</v>
      </c>
      <c r="M685" s="32" t="s">
        <v>30</v>
      </c>
      <c r="N685" s="40">
        <v>2010</v>
      </c>
      <c r="O685" s="32">
        <f>VLOOKUP(Data!N582, CPI!$A$2:$B$112, 2, 0)</f>
        <v>195.3</v>
      </c>
      <c r="P685" s="32" t="s">
        <v>238</v>
      </c>
      <c r="Q685" s="32" t="s">
        <v>239</v>
      </c>
      <c r="R685" s="32" t="s">
        <v>1124</v>
      </c>
      <c r="S685" s="32">
        <v>3044</v>
      </c>
      <c r="T685" s="32" t="s">
        <v>316</v>
      </c>
      <c r="U685" s="32">
        <v>3044</v>
      </c>
      <c r="V685" s="32" t="s">
        <v>316</v>
      </c>
      <c r="X685" s="32">
        <f t="shared" si="41"/>
        <v>3044</v>
      </c>
      <c r="Y685" s="32">
        <f>(CPI!$B$112/O685)*X685</f>
        <v>4748.7763799283148</v>
      </c>
      <c r="Z685" s="38" t="s">
        <v>262</v>
      </c>
      <c r="AA685" s="35" t="s">
        <v>1425</v>
      </c>
      <c r="AB685" s="32">
        <v>8384700</v>
      </c>
      <c r="AC685" s="32" t="s">
        <v>2291</v>
      </c>
      <c r="AH685" s="32" t="s">
        <v>411</v>
      </c>
      <c r="AK685" s="40" t="s">
        <v>1139</v>
      </c>
      <c r="AL685" s="32">
        <v>2013</v>
      </c>
      <c r="AM685" s="32" t="s">
        <v>1140</v>
      </c>
      <c r="AN685" s="32" t="s">
        <v>1141</v>
      </c>
      <c r="AO685" s="38" t="s">
        <v>1142</v>
      </c>
      <c r="AP685" s="35" t="s">
        <v>396</v>
      </c>
    </row>
    <row r="686" spans="1:42" x14ac:dyDescent="0.2">
      <c r="A686" s="40">
        <v>67</v>
      </c>
      <c r="B686" s="40">
        <v>685</v>
      </c>
      <c r="C686" s="40" t="s">
        <v>114</v>
      </c>
      <c r="D686" s="38" t="s">
        <v>218</v>
      </c>
      <c r="E686" s="32" t="s">
        <v>2186</v>
      </c>
      <c r="F686" s="32" t="s">
        <v>21</v>
      </c>
      <c r="G686" s="38" t="s">
        <v>163</v>
      </c>
      <c r="H686" s="32" t="s">
        <v>115</v>
      </c>
      <c r="I686" s="32" t="s">
        <v>243</v>
      </c>
      <c r="J686" s="32" t="s">
        <v>1107</v>
      </c>
      <c r="K686" s="32" t="s">
        <v>129</v>
      </c>
      <c r="L686" s="32" t="s">
        <v>30</v>
      </c>
      <c r="M686" s="32" t="s">
        <v>30</v>
      </c>
      <c r="N686" s="40">
        <v>2010</v>
      </c>
      <c r="O686" s="32">
        <f>VLOOKUP(Data!N583, CPI!$A$2:$B$112, 2, 0)</f>
        <v>195.3</v>
      </c>
      <c r="P686" s="32" t="s">
        <v>238</v>
      </c>
      <c r="Q686" s="32" t="s">
        <v>239</v>
      </c>
      <c r="R686" s="32" t="s">
        <v>1125</v>
      </c>
      <c r="S686" s="32">
        <v>7.4</v>
      </c>
      <c r="T686" s="32" t="s">
        <v>316</v>
      </c>
      <c r="U686" s="32">
        <v>7.4</v>
      </c>
      <c r="V686" s="32" t="s">
        <v>316</v>
      </c>
      <c r="X686" s="32">
        <f t="shared" si="41"/>
        <v>7.4</v>
      </c>
      <c r="Y686" s="32">
        <f>(CPI!$B$112/O686)*X686</f>
        <v>11.544331541218638</v>
      </c>
      <c r="Z686" s="38" t="s">
        <v>262</v>
      </c>
      <c r="AA686" s="35" t="s">
        <v>1425</v>
      </c>
      <c r="AB686" s="32">
        <v>8384700</v>
      </c>
      <c r="AC686" s="32" t="s">
        <v>2291</v>
      </c>
      <c r="AH686" s="32" t="s">
        <v>411</v>
      </c>
      <c r="AK686" s="40" t="s">
        <v>1139</v>
      </c>
      <c r="AL686" s="32">
        <v>2013</v>
      </c>
      <c r="AM686" s="32" t="s">
        <v>1140</v>
      </c>
      <c r="AN686" s="32" t="s">
        <v>1141</v>
      </c>
      <c r="AO686" s="38" t="s">
        <v>1142</v>
      </c>
      <c r="AP686" s="35" t="s">
        <v>396</v>
      </c>
    </row>
    <row r="687" spans="1:42" x14ac:dyDescent="0.2">
      <c r="A687" s="40">
        <v>67</v>
      </c>
      <c r="B687" s="40">
        <v>686</v>
      </c>
      <c r="C687" s="40" t="s">
        <v>114</v>
      </c>
      <c r="D687" s="38" t="s">
        <v>218</v>
      </c>
      <c r="E687" s="32" t="s">
        <v>2183</v>
      </c>
      <c r="F687" s="32" t="s">
        <v>237</v>
      </c>
      <c r="G687" s="38" t="s">
        <v>1923</v>
      </c>
      <c r="H687" s="32" t="s">
        <v>115</v>
      </c>
      <c r="I687" s="32" t="s">
        <v>243</v>
      </c>
      <c r="J687" s="32" t="s">
        <v>1107</v>
      </c>
      <c r="K687" s="32" t="s">
        <v>129</v>
      </c>
      <c r="L687" s="32" t="s">
        <v>30</v>
      </c>
      <c r="M687" s="32" t="s">
        <v>30</v>
      </c>
      <c r="N687" s="40">
        <v>2010</v>
      </c>
      <c r="O687" s="32">
        <f>VLOOKUP(Data!N584, CPI!$A$2:$B$112, 2, 0)</f>
        <v>195.3</v>
      </c>
      <c r="P687" s="32" t="s">
        <v>238</v>
      </c>
      <c r="Q687" s="32" t="s">
        <v>239</v>
      </c>
      <c r="R687" s="32" t="s">
        <v>1126</v>
      </c>
      <c r="S687" s="32">
        <v>1542</v>
      </c>
      <c r="T687" s="32" t="s">
        <v>316</v>
      </c>
      <c r="U687" s="32">
        <v>1542</v>
      </c>
      <c r="V687" s="32" t="s">
        <v>316</v>
      </c>
      <c r="X687" s="32">
        <f t="shared" si="41"/>
        <v>1542</v>
      </c>
      <c r="Y687" s="32">
        <f>(CPI!$B$112/O687)*X687</f>
        <v>2405.5890860215054</v>
      </c>
      <c r="Z687" s="38" t="s">
        <v>262</v>
      </c>
      <c r="AA687" s="35" t="s">
        <v>1425</v>
      </c>
      <c r="AB687" s="32">
        <v>8384700</v>
      </c>
      <c r="AC687" s="32" t="s">
        <v>2291</v>
      </c>
      <c r="AH687" s="32" t="s">
        <v>411</v>
      </c>
      <c r="AK687" s="40" t="s">
        <v>1139</v>
      </c>
      <c r="AL687" s="32">
        <v>2013</v>
      </c>
      <c r="AM687" s="32" t="s">
        <v>1140</v>
      </c>
      <c r="AN687" s="32" t="s">
        <v>1141</v>
      </c>
      <c r="AO687" s="38" t="s">
        <v>1142</v>
      </c>
      <c r="AP687" s="35" t="s">
        <v>396</v>
      </c>
    </row>
    <row r="688" spans="1:42" x14ac:dyDescent="0.2">
      <c r="A688" s="40">
        <v>67</v>
      </c>
      <c r="B688" s="40">
        <v>687</v>
      </c>
      <c r="C688" s="40" t="s">
        <v>114</v>
      </c>
      <c r="D688" s="38" t="s">
        <v>218</v>
      </c>
      <c r="E688" s="32" t="s">
        <v>2887</v>
      </c>
      <c r="F688" s="32" t="s">
        <v>121</v>
      </c>
      <c r="G688" s="38" t="s">
        <v>123</v>
      </c>
      <c r="H688" s="32" t="s">
        <v>115</v>
      </c>
      <c r="I688" s="32" t="s">
        <v>243</v>
      </c>
      <c r="J688" s="32" t="s">
        <v>1107</v>
      </c>
      <c r="K688" s="32" t="s">
        <v>129</v>
      </c>
      <c r="L688" s="32" t="s">
        <v>30</v>
      </c>
      <c r="M688" s="32" t="s">
        <v>30</v>
      </c>
      <c r="N688" s="40">
        <v>2010</v>
      </c>
      <c r="O688" s="32">
        <f>VLOOKUP(Data!N585, CPI!$A$2:$B$112, 2, 0)</f>
        <v>195.3</v>
      </c>
      <c r="P688" s="32" t="s">
        <v>238</v>
      </c>
      <c r="Q688" s="32" t="s">
        <v>239</v>
      </c>
      <c r="R688" s="32" t="s">
        <v>1127</v>
      </c>
      <c r="S688" s="32">
        <v>2.68</v>
      </c>
      <c r="T688" s="32" t="s">
        <v>316</v>
      </c>
      <c r="U688" s="32">
        <v>2.68</v>
      </c>
      <c r="V688" s="32" t="s">
        <v>316</v>
      </c>
      <c r="X688" s="32">
        <f t="shared" si="41"/>
        <v>2.68</v>
      </c>
      <c r="Y688" s="32">
        <f>(CPI!$B$112/O688)*X688</f>
        <v>4.1809200716845876</v>
      </c>
      <c r="Z688" s="38" t="s">
        <v>262</v>
      </c>
      <c r="AA688" s="35" t="s">
        <v>1425</v>
      </c>
      <c r="AB688" s="32">
        <v>8384700</v>
      </c>
      <c r="AC688" s="32" t="s">
        <v>2291</v>
      </c>
      <c r="AH688" s="32" t="s">
        <v>411</v>
      </c>
      <c r="AK688" s="40" t="s">
        <v>1139</v>
      </c>
      <c r="AL688" s="32">
        <v>2013</v>
      </c>
      <c r="AM688" s="32" t="s">
        <v>1140</v>
      </c>
      <c r="AN688" s="32" t="s">
        <v>1141</v>
      </c>
      <c r="AO688" s="38" t="s">
        <v>1142</v>
      </c>
      <c r="AP688" s="35" t="s">
        <v>396</v>
      </c>
    </row>
    <row r="689" spans="1:42" x14ac:dyDescent="0.2">
      <c r="A689" s="40">
        <v>67</v>
      </c>
      <c r="B689" s="40">
        <v>688</v>
      </c>
      <c r="C689" s="40" t="s">
        <v>114</v>
      </c>
      <c r="D689" s="38" t="s">
        <v>218</v>
      </c>
      <c r="E689" s="32" t="s">
        <v>2186</v>
      </c>
      <c r="F689" s="32" t="s">
        <v>21</v>
      </c>
      <c r="G689" s="38" t="s">
        <v>163</v>
      </c>
      <c r="H689" s="32" t="s">
        <v>115</v>
      </c>
      <c r="I689" s="32" t="s">
        <v>243</v>
      </c>
      <c r="J689" s="32" t="s">
        <v>1107</v>
      </c>
      <c r="K689" s="32" t="s">
        <v>129</v>
      </c>
      <c r="L689" s="32" t="s">
        <v>30</v>
      </c>
      <c r="M689" s="32" t="s">
        <v>30</v>
      </c>
      <c r="N689" s="40">
        <v>2010</v>
      </c>
      <c r="O689" s="32">
        <f>VLOOKUP(Data!N586, CPI!$A$2:$B$112, 2, 0)</f>
        <v>195.3</v>
      </c>
      <c r="P689" s="32" t="s">
        <v>238</v>
      </c>
      <c r="Q689" s="32" t="s">
        <v>239</v>
      </c>
      <c r="R689" s="32" t="s">
        <v>1128</v>
      </c>
      <c r="S689" s="32">
        <v>1452</v>
      </c>
      <c r="T689" s="32" t="s">
        <v>316</v>
      </c>
      <c r="U689" s="32">
        <v>1452</v>
      </c>
      <c r="V689" s="32" t="s">
        <v>316</v>
      </c>
      <c r="X689" s="32">
        <f t="shared" si="41"/>
        <v>1452</v>
      </c>
      <c r="Y689" s="32">
        <f>(CPI!$B$112/O689)*X689</f>
        <v>2265.1850537634409</v>
      </c>
      <c r="Z689" s="38" t="s">
        <v>262</v>
      </c>
      <c r="AA689" s="35" t="s">
        <v>1425</v>
      </c>
      <c r="AB689" s="32">
        <v>8384700</v>
      </c>
      <c r="AC689" s="32" t="s">
        <v>2291</v>
      </c>
      <c r="AH689" s="32" t="s">
        <v>411</v>
      </c>
      <c r="AK689" s="40" t="s">
        <v>1139</v>
      </c>
      <c r="AL689" s="32">
        <v>2013</v>
      </c>
      <c r="AM689" s="32" t="s">
        <v>1140</v>
      </c>
      <c r="AN689" s="32" t="s">
        <v>1141</v>
      </c>
      <c r="AO689" s="38" t="s">
        <v>1142</v>
      </c>
      <c r="AP689" s="35" t="s">
        <v>396</v>
      </c>
    </row>
    <row r="690" spans="1:42" x14ac:dyDescent="0.2">
      <c r="A690" s="40">
        <v>67</v>
      </c>
      <c r="B690" s="40">
        <v>689</v>
      </c>
      <c r="C690" s="40" t="s">
        <v>114</v>
      </c>
      <c r="D690" s="38" t="s">
        <v>218</v>
      </c>
      <c r="E690" s="32" t="s">
        <v>2186</v>
      </c>
      <c r="F690" s="32" t="s">
        <v>21</v>
      </c>
      <c r="G690" s="38" t="s">
        <v>163</v>
      </c>
      <c r="H690" s="32" t="s">
        <v>115</v>
      </c>
      <c r="I690" s="32" t="s">
        <v>243</v>
      </c>
      <c r="J690" s="32" t="s">
        <v>1107</v>
      </c>
      <c r="K690" s="32" t="s">
        <v>129</v>
      </c>
      <c r="L690" s="32" t="s">
        <v>30</v>
      </c>
      <c r="M690" s="32" t="s">
        <v>30</v>
      </c>
      <c r="N690" s="40">
        <v>2010</v>
      </c>
      <c r="O690" s="32">
        <f>VLOOKUP(Data!N587, CPI!$A$2:$B$112, 2, 0)</f>
        <v>195.3</v>
      </c>
      <c r="P690" s="32" t="s">
        <v>238</v>
      </c>
      <c r="Q690" s="32" t="s">
        <v>239</v>
      </c>
      <c r="R690" s="32" t="s">
        <v>1129</v>
      </c>
      <c r="S690" s="32">
        <v>0.7</v>
      </c>
      <c r="T690" s="32" t="s">
        <v>316</v>
      </c>
      <c r="U690" s="32">
        <v>0.7</v>
      </c>
      <c r="V690" s="32" t="s">
        <v>316</v>
      </c>
      <c r="X690" s="32">
        <f t="shared" si="41"/>
        <v>0.7</v>
      </c>
      <c r="Y690" s="32">
        <f>(CPI!$B$112/O690)*X690</f>
        <v>1.0920313620071684</v>
      </c>
      <c r="Z690" s="38" t="s">
        <v>262</v>
      </c>
      <c r="AA690" s="35" t="s">
        <v>1425</v>
      </c>
      <c r="AB690" s="32">
        <v>8384700</v>
      </c>
      <c r="AC690" s="32" t="s">
        <v>2291</v>
      </c>
      <c r="AH690" s="32" t="s">
        <v>411</v>
      </c>
      <c r="AK690" s="40" t="s">
        <v>1139</v>
      </c>
      <c r="AL690" s="32">
        <v>2013</v>
      </c>
      <c r="AM690" s="32" t="s">
        <v>1140</v>
      </c>
      <c r="AN690" s="32" t="s">
        <v>1141</v>
      </c>
      <c r="AO690" s="38" t="s">
        <v>1142</v>
      </c>
      <c r="AP690" s="35" t="s">
        <v>396</v>
      </c>
    </row>
    <row r="691" spans="1:42" x14ac:dyDescent="0.2">
      <c r="A691" s="40">
        <v>67</v>
      </c>
      <c r="B691" s="40">
        <v>690</v>
      </c>
      <c r="C691" s="40" t="s">
        <v>114</v>
      </c>
      <c r="D691" s="38" t="s">
        <v>218</v>
      </c>
      <c r="E691" s="32" t="s">
        <v>2183</v>
      </c>
      <c r="F691" s="32" t="s">
        <v>237</v>
      </c>
      <c r="G691" s="38" t="s">
        <v>1923</v>
      </c>
      <c r="H691" s="32" t="s">
        <v>115</v>
      </c>
      <c r="I691" s="32" t="s">
        <v>243</v>
      </c>
      <c r="J691" s="32" t="s">
        <v>1107</v>
      </c>
      <c r="K691" s="32" t="s">
        <v>129</v>
      </c>
      <c r="L691" s="32" t="s">
        <v>30</v>
      </c>
      <c r="M691" s="32" t="s">
        <v>30</v>
      </c>
      <c r="N691" s="40">
        <v>2010</v>
      </c>
      <c r="O691" s="32">
        <f>VLOOKUP(Data!N588, CPI!$A$2:$B$112, 2, 0)</f>
        <v>195.3</v>
      </c>
      <c r="P691" s="32" t="s">
        <v>238</v>
      </c>
      <c r="Q691" s="32" t="s">
        <v>239</v>
      </c>
      <c r="R691" s="32" t="s">
        <v>1130</v>
      </c>
      <c r="S691" s="32">
        <v>708</v>
      </c>
      <c r="T691" s="32" t="s">
        <v>316</v>
      </c>
      <c r="U691" s="32">
        <v>708</v>
      </c>
      <c r="V691" s="32" t="s">
        <v>316</v>
      </c>
      <c r="X691" s="32">
        <f t="shared" si="41"/>
        <v>708</v>
      </c>
      <c r="Y691" s="32">
        <f>(CPI!$B$112/O691)*X691</f>
        <v>1104.5117204301075</v>
      </c>
      <c r="Z691" s="38" t="s">
        <v>262</v>
      </c>
      <c r="AA691" s="35" t="s">
        <v>1425</v>
      </c>
      <c r="AB691" s="32">
        <v>8384700</v>
      </c>
      <c r="AC691" s="32" t="s">
        <v>2291</v>
      </c>
      <c r="AH691" s="32" t="s">
        <v>411</v>
      </c>
      <c r="AK691" s="40" t="s">
        <v>1139</v>
      </c>
      <c r="AL691" s="32">
        <v>2013</v>
      </c>
      <c r="AM691" s="32" t="s">
        <v>1140</v>
      </c>
      <c r="AN691" s="32" t="s">
        <v>1141</v>
      </c>
      <c r="AO691" s="38" t="s">
        <v>1142</v>
      </c>
      <c r="AP691" s="35" t="s">
        <v>396</v>
      </c>
    </row>
    <row r="692" spans="1:42" x14ac:dyDescent="0.2">
      <c r="A692" s="40">
        <v>67</v>
      </c>
      <c r="B692" s="40">
        <v>691</v>
      </c>
      <c r="C692" s="40" t="s">
        <v>114</v>
      </c>
      <c r="D692" s="38" t="s">
        <v>218</v>
      </c>
      <c r="E692" s="32" t="s">
        <v>2887</v>
      </c>
      <c r="F692" s="32" t="s">
        <v>121</v>
      </c>
      <c r="G692" s="38" t="s">
        <v>123</v>
      </c>
      <c r="H692" s="32" t="s">
        <v>115</v>
      </c>
      <c r="I692" s="32" t="s">
        <v>243</v>
      </c>
      <c r="J692" s="32" t="s">
        <v>1107</v>
      </c>
      <c r="K692" s="32" t="s">
        <v>129</v>
      </c>
      <c r="L692" s="32" t="s">
        <v>30</v>
      </c>
      <c r="M692" s="32" t="s">
        <v>30</v>
      </c>
      <c r="N692" s="40">
        <v>2010</v>
      </c>
      <c r="O692" s="32">
        <f>VLOOKUP(Data!N589, CPI!$A$2:$B$112, 2, 0)</f>
        <v>195.3</v>
      </c>
      <c r="P692" s="32" t="s">
        <v>238</v>
      </c>
      <c r="Q692" s="32" t="s">
        <v>239</v>
      </c>
      <c r="R692" s="32" t="s">
        <v>1131</v>
      </c>
      <c r="S692" s="32">
        <v>0.31</v>
      </c>
      <c r="T692" s="32" t="s">
        <v>316</v>
      </c>
      <c r="U692" s="32">
        <v>0.31</v>
      </c>
      <c r="V692" s="32" t="s">
        <v>316</v>
      </c>
      <c r="X692" s="32">
        <f t="shared" si="41"/>
        <v>0.31</v>
      </c>
      <c r="Y692" s="32">
        <f>(CPI!$B$112/O692)*X692</f>
        <v>0.48361388888888884</v>
      </c>
      <c r="Z692" s="38" t="s">
        <v>262</v>
      </c>
      <c r="AA692" s="35" t="s">
        <v>1425</v>
      </c>
      <c r="AB692" s="32">
        <v>8384700</v>
      </c>
      <c r="AC692" s="32" t="s">
        <v>2291</v>
      </c>
      <c r="AH692" s="32" t="s">
        <v>411</v>
      </c>
      <c r="AK692" s="40" t="s">
        <v>1139</v>
      </c>
      <c r="AL692" s="32">
        <v>2013</v>
      </c>
      <c r="AM692" s="32" t="s">
        <v>1140</v>
      </c>
      <c r="AN692" s="32" t="s">
        <v>1141</v>
      </c>
      <c r="AO692" s="38" t="s">
        <v>1142</v>
      </c>
      <c r="AP692" s="35" t="s">
        <v>396</v>
      </c>
    </row>
    <row r="693" spans="1:42" x14ac:dyDescent="0.2">
      <c r="A693" s="40">
        <v>67</v>
      </c>
      <c r="B693" s="40">
        <v>692</v>
      </c>
      <c r="C693" s="40" t="s">
        <v>114</v>
      </c>
      <c r="D693" s="38" t="s">
        <v>218</v>
      </c>
      <c r="E693" s="32" t="s">
        <v>2186</v>
      </c>
      <c r="F693" s="32" t="s">
        <v>21</v>
      </c>
      <c r="G693" s="38" t="s">
        <v>163</v>
      </c>
      <c r="H693" s="32" t="s">
        <v>115</v>
      </c>
      <c r="I693" s="32" t="s">
        <v>243</v>
      </c>
      <c r="J693" s="32" t="s">
        <v>1107</v>
      </c>
      <c r="K693" s="32" t="s">
        <v>129</v>
      </c>
      <c r="L693" s="32" t="s">
        <v>30</v>
      </c>
      <c r="M693" s="32" t="s">
        <v>30</v>
      </c>
      <c r="N693" s="40">
        <v>2010</v>
      </c>
      <c r="O693" s="32">
        <f>VLOOKUP(Data!N590, CPI!$A$2:$B$112, 2, 0)</f>
        <v>195.3</v>
      </c>
      <c r="P693" s="32" t="s">
        <v>238</v>
      </c>
      <c r="Q693" s="32" t="s">
        <v>239</v>
      </c>
      <c r="R693" s="32" t="s">
        <v>1132</v>
      </c>
      <c r="S693" s="32">
        <v>4341</v>
      </c>
      <c r="T693" s="32" t="s">
        <v>316</v>
      </c>
      <c r="U693" s="32">
        <v>4341</v>
      </c>
      <c r="V693" s="32" t="s">
        <v>316</v>
      </c>
      <c r="X693" s="32">
        <f t="shared" si="41"/>
        <v>4341</v>
      </c>
      <c r="Y693" s="32">
        <f>(CPI!$B$112/O693)*X693</f>
        <v>6772.1544892473112</v>
      </c>
      <c r="Z693" s="38" t="s">
        <v>262</v>
      </c>
      <c r="AA693" s="35" t="s">
        <v>1425</v>
      </c>
      <c r="AB693" s="32">
        <v>8384700</v>
      </c>
      <c r="AC693" s="32" t="s">
        <v>2291</v>
      </c>
      <c r="AH693" s="32" t="s">
        <v>411</v>
      </c>
      <c r="AK693" s="40" t="s">
        <v>1139</v>
      </c>
      <c r="AL693" s="32">
        <v>2013</v>
      </c>
      <c r="AM693" s="32" t="s">
        <v>1140</v>
      </c>
      <c r="AN693" s="32" t="s">
        <v>1141</v>
      </c>
      <c r="AO693" s="38" t="s">
        <v>1142</v>
      </c>
      <c r="AP693" s="35" t="s">
        <v>396</v>
      </c>
    </row>
    <row r="694" spans="1:42" x14ac:dyDescent="0.2">
      <c r="A694" s="40">
        <v>67</v>
      </c>
      <c r="B694" s="40">
        <v>693</v>
      </c>
      <c r="C694" s="40" t="s">
        <v>114</v>
      </c>
      <c r="D694" s="38" t="s">
        <v>218</v>
      </c>
      <c r="E694" s="32" t="s">
        <v>2186</v>
      </c>
      <c r="F694" s="32" t="s">
        <v>21</v>
      </c>
      <c r="G694" s="38" t="s">
        <v>163</v>
      </c>
      <c r="H694" s="32" t="s">
        <v>115</v>
      </c>
      <c r="I694" s="32" t="s">
        <v>243</v>
      </c>
      <c r="J694" s="32" t="s">
        <v>1107</v>
      </c>
      <c r="K694" s="32" t="s">
        <v>129</v>
      </c>
      <c r="L694" s="32" t="s">
        <v>30</v>
      </c>
      <c r="M694" s="32" t="s">
        <v>30</v>
      </c>
      <c r="N694" s="40">
        <v>2010</v>
      </c>
      <c r="O694" s="32">
        <f>VLOOKUP(Data!N591, CPI!$A$2:$B$112, 2, 0)</f>
        <v>195.3</v>
      </c>
      <c r="P694" s="32" t="s">
        <v>238</v>
      </c>
      <c r="Q694" s="32" t="s">
        <v>239</v>
      </c>
      <c r="R694" s="32" t="s">
        <v>1133</v>
      </c>
      <c r="S694" s="32">
        <v>3.4</v>
      </c>
      <c r="T694" s="32" t="s">
        <v>316</v>
      </c>
      <c r="U694" s="32">
        <v>3.4</v>
      </c>
      <c r="V694" s="32" t="s">
        <v>316</v>
      </c>
      <c r="X694" s="32">
        <f t="shared" si="41"/>
        <v>3.4</v>
      </c>
      <c r="Y694" s="32">
        <f>(CPI!$B$112/O694)*X694</f>
        <v>5.3041523297491038</v>
      </c>
      <c r="Z694" s="38" t="s">
        <v>262</v>
      </c>
      <c r="AA694" s="35" t="s">
        <v>1425</v>
      </c>
      <c r="AB694" s="32">
        <v>8384700</v>
      </c>
      <c r="AC694" s="32" t="s">
        <v>2291</v>
      </c>
      <c r="AH694" s="32" t="s">
        <v>411</v>
      </c>
      <c r="AK694" s="40" t="s">
        <v>1139</v>
      </c>
      <c r="AL694" s="32">
        <v>2013</v>
      </c>
      <c r="AM694" s="32" t="s">
        <v>1140</v>
      </c>
      <c r="AN694" s="32" t="s">
        <v>1141</v>
      </c>
      <c r="AO694" s="38" t="s">
        <v>1142</v>
      </c>
      <c r="AP694" s="35" t="s">
        <v>396</v>
      </c>
    </row>
    <row r="695" spans="1:42" x14ac:dyDescent="0.2">
      <c r="A695" s="40">
        <v>67</v>
      </c>
      <c r="B695" s="40">
        <v>694</v>
      </c>
      <c r="C695" s="40" t="s">
        <v>114</v>
      </c>
      <c r="D695" s="38" t="s">
        <v>218</v>
      </c>
      <c r="E695" s="32" t="s">
        <v>2183</v>
      </c>
      <c r="F695" s="32" t="s">
        <v>237</v>
      </c>
      <c r="G695" s="38" t="s">
        <v>1923</v>
      </c>
      <c r="H695" s="32" t="s">
        <v>115</v>
      </c>
      <c r="I695" s="32" t="s">
        <v>243</v>
      </c>
      <c r="J695" s="32" t="s">
        <v>1107</v>
      </c>
      <c r="K695" s="32" t="s">
        <v>129</v>
      </c>
      <c r="L695" s="32" t="s">
        <v>30</v>
      </c>
      <c r="M695" s="32" t="s">
        <v>30</v>
      </c>
      <c r="N695" s="40">
        <v>2010</v>
      </c>
      <c r="O695" s="32">
        <f>VLOOKUP(Data!N592, CPI!$A$2:$B$112, 2, 0)</f>
        <v>195.3</v>
      </c>
      <c r="P695" s="32" t="s">
        <v>238</v>
      </c>
      <c r="Q695" s="32" t="s">
        <v>239</v>
      </c>
      <c r="R695" s="32" t="s">
        <v>1134</v>
      </c>
      <c r="S695" s="32">
        <v>665</v>
      </c>
      <c r="T695" s="32" t="s">
        <v>316</v>
      </c>
      <c r="U695" s="32">
        <v>665</v>
      </c>
      <c r="V695" s="32" t="s">
        <v>316</v>
      </c>
      <c r="X695" s="32">
        <f t="shared" si="41"/>
        <v>665</v>
      </c>
      <c r="Y695" s="32">
        <f>(CPI!$B$112/O695)*X695</f>
        <v>1037.4297939068099</v>
      </c>
      <c r="Z695" s="38" t="s">
        <v>262</v>
      </c>
      <c r="AA695" s="35" t="s">
        <v>1425</v>
      </c>
      <c r="AB695" s="32">
        <v>8384700</v>
      </c>
      <c r="AC695" s="32" t="s">
        <v>2291</v>
      </c>
      <c r="AH695" s="32" t="s">
        <v>411</v>
      </c>
      <c r="AK695" s="40" t="s">
        <v>1139</v>
      </c>
      <c r="AL695" s="32">
        <v>2013</v>
      </c>
      <c r="AM695" s="32" t="s">
        <v>1140</v>
      </c>
      <c r="AN695" s="32" t="s">
        <v>1141</v>
      </c>
      <c r="AO695" s="38" t="s">
        <v>1142</v>
      </c>
      <c r="AP695" s="35" t="s">
        <v>396</v>
      </c>
    </row>
    <row r="696" spans="1:42" x14ac:dyDescent="0.2">
      <c r="A696" s="40">
        <v>67</v>
      </c>
      <c r="B696" s="40">
        <v>695</v>
      </c>
      <c r="C696" s="40" t="s">
        <v>114</v>
      </c>
      <c r="D696" s="38" t="s">
        <v>218</v>
      </c>
      <c r="E696" s="32" t="s">
        <v>2887</v>
      </c>
      <c r="F696" s="32" t="s">
        <v>121</v>
      </c>
      <c r="G696" s="38" t="s">
        <v>123</v>
      </c>
      <c r="H696" s="32" t="s">
        <v>115</v>
      </c>
      <c r="I696" s="32" t="s">
        <v>243</v>
      </c>
      <c r="J696" s="32" t="s">
        <v>1107</v>
      </c>
      <c r="K696" s="32" t="s">
        <v>129</v>
      </c>
      <c r="L696" s="32" t="s">
        <v>30</v>
      </c>
      <c r="M696" s="32" t="s">
        <v>30</v>
      </c>
      <c r="N696" s="40">
        <v>2010</v>
      </c>
      <c r="O696" s="32">
        <f>VLOOKUP(Data!N593, CPI!$A$2:$B$112, 2, 0)</f>
        <v>195.3</v>
      </c>
      <c r="P696" s="32" t="s">
        <v>238</v>
      </c>
      <c r="Q696" s="32" t="s">
        <v>239</v>
      </c>
      <c r="R696" s="32" t="s">
        <v>1135</v>
      </c>
      <c r="S696" s="32">
        <v>0.33</v>
      </c>
      <c r="T696" s="32" t="s">
        <v>316</v>
      </c>
      <c r="U696" s="32">
        <v>0.33</v>
      </c>
      <c r="V696" s="32" t="s">
        <v>316</v>
      </c>
      <c r="X696" s="32">
        <f t="shared" si="41"/>
        <v>0.33</v>
      </c>
      <c r="Y696" s="32">
        <f>(CPI!$B$112/O696)*X696</f>
        <v>0.51481478494623656</v>
      </c>
      <c r="Z696" s="38" t="s">
        <v>262</v>
      </c>
      <c r="AA696" s="35" t="s">
        <v>1425</v>
      </c>
      <c r="AB696" s="32">
        <v>8384700</v>
      </c>
      <c r="AC696" s="32" t="s">
        <v>2291</v>
      </c>
      <c r="AH696" s="32" t="s">
        <v>411</v>
      </c>
      <c r="AK696" s="40" t="s">
        <v>1139</v>
      </c>
      <c r="AL696" s="32">
        <v>2013</v>
      </c>
      <c r="AM696" s="32" t="s">
        <v>1140</v>
      </c>
      <c r="AN696" s="32" t="s">
        <v>1141</v>
      </c>
      <c r="AO696" s="38" t="s">
        <v>1142</v>
      </c>
      <c r="AP696" s="35" t="s">
        <v>396</v>
      </c>
    </row>
    <row r="697" spans="1:42" x14ac:dyDescent="0.2">
      <c r="A697" s="40">
        <v>67</v>
      </c>
      <c r="B697" s="40">
        <v>696</v>
      </c>
      <c r="C697" s="40" t="s">
        <v>114</v>
      </c>
      <c r="D697" s="38" t="s">
        <v>218</v>
      </c>
      <c r="E697" s="32" t="s">
        <v>2186</v>
      </c>
      <c r="F697" s="32" t="s">
        <v>21</v>
      </c>
      <c r="G697" s="38" t="s">
        <v>163</v>
      </c>
      <c r="H697" s="32" t="s">
        <v>115</v>
      </c>
      <c r="I697" s="32" t="s">
        <v>243</v>
      </c>
      <c r="J697" s="32" t="s">
        <v>1107</v>
      </c>
      <c r="K697" s="32" t="s">
        <v>129</v>
      </c>
      <c r="L697" s="32" t="s">
        <v>30</v>
      </c>
      <c r="M697" s="32" t="s">
        <v>30</v>
      </c>
      <c r="N697" s="40">
        <v>2010</v>
      </c>
      <c r="O697" s="32">
        <f>VLOOKUP(Data!N594, CPI!$A$2:$B$112, 2, 0)</f>
        <v>195.3</v>
      </c>
      <c r="P697" s="32" t="s">
        <v>238</v>
      </c>
      <c r="Q697" s="32" t="s">
        <v>239</v>
      </c>
      <c r="R697" s="32" t="s">
        <v>1136</v>
      </c>
      <c r="S697" s="32">
        <v>2586</v>
      </c>
      <c r="T697" s="32" t="s">
        <v>316</v>
      </c>
      <c r="U697" s="32">
        <v>2586</v>
      </c>
      <c r="V697" s="32" t="s">
        <v>316</v>
      </c>
      <c r="X697" s="32">
        <f t="shared" si="41"/>
        <v>2586</v>
      </c>
      <c r="Y697" s="32">
        <f>(CPI!$B$112/O697)*X697</f>
        <v>4034.2758602150534</v>
      </c>
      <c r="Z697" s="38" t="s">
        <v>262</v>
      </c>
      <c r="AA697" s="35" t="s">
        <v>1425</v>
      </c>
      <c r="AB697" s="32">
        <v>8384700</v>
      </c>
      <c r="AC697" s="32" t="s">
        <v>2291</v>
      </c>
      <c r="AH697" s="32" t="s">
        <v>411</v>
      </c>
      <c r="AK697" s="40" t="s">
        <v>1139</v>
      </c>
      <c r="AL697" s="32">
        <v>2013</v>
      </c>
      <c r="AM697" s="32" t="s">
        <v>1140</v>
      </c>
      <c r="AN697" s="32" t="s">
        <v>1141</v>
      </c>
      <c r="AO697" s="38" t="s">
        <v>1142</v>
      </c>
      <c r="AP697" s="35" t="s">
        <v>396</v>
      </c>
    </row>
    <row r="698" spans="1:42" x14ac:dyDescent="0.2">
      <c r="A698" s="40">
        <v>67</v>
      </c>
      <c r="B698" s="40">
        <v>697</v>
      </c>
      <c r="C698" s="40" t="s">
        <v>114</v>
      </c>
      <c r="D698" s="38" t="s">
        <v>218</v>
      </c>
      <c r="E698" s="32" t="s">
        <v>2186</v>
      </c>
      <c r="F698" s="32" t="s">
        <v>21</v>
      </c>
      <c r="G698" s="38" t="s">
        <v>163</v>
      </c>
      <c r="H698" s="32" t="s">
        <v>115</v>
      </c>
      <c r="I698" s="32" t="s">
        <v>243</v>
      </c>
      <c r="J698" s="32" t="s">
        <v>1107</v>
      </c>
      <c r="K698" s="32" t="s">
        <v>129</v>
      </c>
      <c r="L698" s="32" t="s">
        <v>30</v>
      </c>
      <c r="M698" s="32" t="s">
        <v>30</v>
      </c>
      <c r="N698" s="40">
        <v>2010</v>
      </c>
      <c r="O698" s="32">
        <f>VLOOKUP(Data!N595, CPI!$A$2:$B$112, 2, 0)</f>
        <v>195.3</v>
      </c>
      <c r="P698" s="32" t="s">
        <v>238</v>
      </c>
      <c r="Q698" s="32" t="s">
        <v>239</v>
      </c>
      <c r="R698" s="32" t="s">
        <v>1137</v>
      </c>
      <c r="S698" s="32">
        <v>1.4</v>
      </c>
      <c r="T698" s="32" t="s">
        <v>316</v>
      </c>
      <c r="U698" s="32">
        <v>1.4</v>
      </c>
      <c r="V698" s="32" t="s">
        <v>316</v>
      </c>
      <c r="X698" s="32">
        <f t="shared" si="41"/>
        <v>1.4</v>
      </c>
      <c r="Y698" s="32">
        <f>(CPI!$B$112/O698)*X698</f>
        <v>2.1840627240143369</v>
      </c>
      <c r="Z698" s="38" t="s">
        <v>262</v>
      </c>
      <c r="AA698" s="35" t="s">
        <v>1425</v>
      </c>
      <c r="AB698" s="32">
        <v>8384700</v>
      </c>
      <c r="AC698" s="32" t="s">
        <v>2291</v>
      </c>
      <c r="AH698" s="32" t="s">
        <v>411</v>
      </c>
      <c r="AK698" s="40" t="s">
        <v>1139</v>
      </c>
      <c r="AL698" s="32">
        <v>2013</v>
      </c>
      <c r="AM698" s="32" t="s">
        <v>1140</v>
      </c>
      <c r="AN698" s="32" t="s">
        <v>1141</v>
      </c>
      <c r="AO698" s="38" t="s">
        <v>1142</v>
      </c>
      <c r="AP698" s="35" t="s">
        <v>396</v>
      </c>
    </row>
    <row r="699" spans="1:42" x14ac:dyDescent="0.2">
      <c r="A699" s="40">
        <v>67</v>
      </c>
      <c r="B699" s="40">
        <v>698</v>
      </c>
      <c r="C699" s="40" t="s">
        <v>114</v>
      </c>
      <c r="D699" s="38" t="s">
        <v>218</v>
      </c>
      <c r="E699" s="32" t="s">
        <v>2183</v>
      </c>
      <c r="F699" s="32" t="s">
        <v>237</v>
      </c>
      <c r="G699" s="38" t="s">
        <v>1923</v>
      </c>
      <c r="H699" s="32" t="s">
        <v>115</v>
      </c>
      <c r="I699" s="32" t="s">
        <v>243</v>
      </c>
      <c r="J699" s="32" t="s">
        <v>1107</v>
      </c>
      <c r="K699" s="32" t="s">
        <v>129</v>
      </c>
      <c r="L699" s="32" t="s">
        <v>30</v>
      </c>
      <c r="M699" s="32" t="s">
        <v>30</v>
      </c>
      <c r="N699" s="40">
        <v>2010</v>
      </c>
      <c r="O699" s="32">
        <f>VLOOKUP(Data!N596, CPI!$A$2:$B$112, 2, 0)</f>
        <v>195.3</v>
      </c>
      <c r="P699" s="32" t="s">
        <v>238</v>
      </c>
      <c r="Q699" s="32" t="s">
        <v>239</v>
      </c>
      <c r="R699" s="32" t="s">
        <v>1138</v>
      </c>
      <c r="S699" s="32">
        <v>426</v>
      </c>
      <c r="T699" s="32" t="s">
        <v>316</v>
      </c>
      <c r="U699" s="32">
        <v>426</v>
      </c>
      <c r="V699" s="32" t="s">
        <v>316</v>
      </c>
      <c r="X699" s="32">
        <f t="shared" si="41"/>
        <v>426</v>
      </c>
      <c r="Y699" s="32">
        <f>(CPI!$B$112/O699)*X699</f>
        <v>664.5790860215053</v>
      </c>
      <c r="Z699" s="38" t="s">
        <v>262</v>
      </c>
      <c r="AA699" s="35" t="s">
        <v>1425</v>
      </c>
      <c r="AB699" s="32">
        <v>8384700</v>
      </c>
      <c r="AC699" s="32" t="s">
        <v>2291</v>
      </c>
      <c r="AH699" s="32" t="s">
        <v>411</v>
      </c>
      <c r="AK699" s="40" t="s">
        <v>1139</v>
      </c>
      <c r="AL699" s="32">
        <v>2013</v>
      </c>
      <c r="AM699" s="32" t="s">
        <v>1140</v>
      </c>
      <c r="AN699" s="32" t="s">
        <v>1141</v>
      </c>
      <c r="AO699" s="38" t="s">
        <v>1142</v>
      </c>
      <c r="AP699" s="35" t="s">
        <v>396</v>
      </c>
    </row>
    <row r="700" spans="1:42" x14ac:dyDescent="0.2">
      <c r="A700" s="40">
        <v>68</v>
      </c>
      <c r="B700" s="40">
        <v>699</v>
      </c>
      <c r="C700" s="40" t="s">
        <v>249</v>
      </c>
      <c r="D700" s="38" t="s">
        <v>150</v>
      </c>
      <c r="E700" s="32" t="s">
        <v>2186</v>
      </c>
      <c r="F700" s="32" t="s">
        <v>29</v>
      </c>
      <c r="G700" s="38" t="s">
        <v>29</v>
      </c>
      <c r="H700" s="32" t="s">
        <v>242</v>
      </c>
      <c r="I700" s="32" t="s">
        <v>243</v>
      </c>
      <c r="J700" s="32" t="s">
        <v>1149</v>
      </c>
      <c r="K700" s="32" t="s">
        <v>129</v>
      </c>
      <c r="L700" s="32" t="s">
        <v>30</v>
      </c>
      <c r="M700" s="32" t="s">
        <v>30</v>
      </c>
      <c r="N700" s="40">
        <v>2002</v>
      </c>
      <c r="O700" s="32">
        <f>VLOOKUP(Data!N1432, CPI!$A$2:$B$112, 2, 0)</f>
        <v>109.6</v>
      </c>
      <c r="P700" s="32" t="s">
        <v>21</v>
      </c>
      <c r="Q700" s="32" t="s">
        <v>239</v>
      </c>
      <c r="R700" s="32" t="s">
        <v>1143</v>
      </c>
      <c r="S700" s="32">
        <v>21.1</v>
      </c>
      <c r="T700" s="32" t="s">
        <v>2432</v>
      </c>
      <c r="Z700" s="38" t="s">
        <v>303</v>
      </c>
      <c r="AA700" s="35" t="s">
        <v>1464</v>
      </c>
      <c r="AB700" s="32">
        <v>18211</v>
      </c>
      <c r="AC700" s="32" t="s">
        <v>2433</v>
      </c>
      <c r="AH700" s="32" t="s">
        <v>397</v>
      </c>
      <c r="AI700" s="32" t="s">
        <v>2268</v>
      </c>
      <c r="AK700" s="40" t="s">
        <v>1151</v>
      </c>
      <c r="AL700" s="32">
        <v>2007</v>
      </c>
      <c r="AM700" s="32" t="s">
        <v>1152</v>
      </c>
      <c r="AN700" s="32" t="s">
        <v>1153</v>
      </c>
      <c r="AO700" s="38" t="s">
        <v>1154</v>
      </c>
      <c r="AP700" s="35" t="s">
        <v>396</v>
      </c>
    </row>
    <row r="701" spans="1:42" x14ac:dyDescent="0.2">
      <c r="A701" s="40">
        <v>68</v>
      </c>
      <c r="B701" s="40">
        <v>700</v>
      </c>
      <c r="C701" s="40" t="s">
        <v>249</v>
      </c>
      <c r="D701" s="38" t="s">
        <v>150</v>
      </c>
      <c r="E701" s="32" t="s">
        <v>2186</v>
      </c>
      <c r="F701" s="32" t="s">
        <v>29</v>
      </c>
      <c r="G701" s="38" t="s">
        <v>29</v>
      </c>
      <c r="H701" s="32" t="s">
        <v>242</v>
      </c>
      <c r="I701" s="32" t="s">
        <v>243</v>
      </c>
      <c r="J701" s="32" t="s">
        <v>1149</v>
      </c>
      <c r="K701" s="32" t="s">
        <v>129</v>
      </c>
      <c r="L701" s="32" t="s">
        <v>30</v>
      </c>
      <c r="M701" s="32" t="s">
        <v>30</v>
      </c>
      <c r="N701" s="40">
        <v>2002</v>
      </c>
      <c r="O701" s="32">
        <f>VLOOKUP(Data!N1433, CPI!$A$2:$B$112, 2, 0)</f>
        <v>109.6</v>
      </c>
      <c r="P701" s="32" t="s">
        <v>21</v>
      </c>
      <c r="Q701" s="32" t="s">
        <v>239</v>
      </c>
      <c r="R701" s="32" t="s">
        <v>1144</v>
      </c>
      <c r="S701" s="32">
        <v>15.52</v>
      </c>
      <c r="T701" s="32" t="s">
        <v>2432</v>
      </c>
      <c r="Z701" s="38" t="s">
        <v>303</v>
      </c>
      <c r="AA701" s="35" t="s">
        <v>1464</v>
      </c>
      <c r="AB701" s="32">
        <v>18211</v>
      </c>
      <c r="AC701" s="32" t="s">
        <v>2433</v>
      </c>
      <c r="AH701" s="32" t="s">
        <v>397</v>
      </c>
      <c r="AI701" s="32" t="s">
        <v>2268</v>
      </c>
      <c r="AK701" s="40" t="s">
        <v>1151</v>
      </c>
      <c r="AL701" s="32">
        <v>2007</v>
      </c>
      <c r="AM701" s="32" t="s">
        <v>1152</v>
      </c>
      <c r="AN701" s="32" t="s">
        <v>1153</v>
      </c>
      <c r="AO701" s="38" t="s">
        <v>1154</v>
      </c>
      <c r="AP701" s="35" t="s">
        <v>396</v>
      </c>
    </row>
    <row r="702" spans="1:42" x14ac:dyDescent="0.2">
      <c r="A702" s="40">
        <v>68</v>
      </c>
      <c r="B702" s="40">
        <v>701</v>
      </c>
      <c r="C702" s="40" t="s">
        <v>249</v>
      </c>
      <c r="D702" s="38" t="s">
        <v>150</v>
      </c>
      <c r="E702" s="32" t="s">
        <v>2186</v>
      </c>
      <c r="F702" s="32" t="s">
        <v>29</v>
      </c>
      <c r="G702" s="35" t="s">
        <v>29</v>
      </c>
      <c r="H702" s="32" t="s">
        <v>242</v>
      </c>
      <c r="I702" s="32" t="s">
        <v>243</v>
      </c>
      <c r="J702" s="32" t="s">
        <v>1149</v>
      </c>
      <c r="K702" s="32" t="s">
        <v>129</v>
      </c>
      <c r="L702" s="32" t="s">
        <v>30</v>
      </c>
      <c r="M702" s="32" t="s">
        <v>30</v>
      </c>
      <c r="N702" s="40">
        <v>2002</v>
      </c>
      <c r="O702" s="32">
        <f>VLOOKUP(Data!N1434, CPI!$A$2:$B$112, 2, 0)</f>
        <v>109.6</v>
      </c>
      <c r="P702" s="32" t="s">
        <v>21</v>
      </c>
      <c r="Q702" s="32" t="s">
        <v>239</v>
      </c>
      <c r="R702" s="32" t="s">
        <v>1147</v>
      </c>
      <c r="S702" s="32">
        <v>14.41</v>
      </c>
      <c r="T702" s="32" t="s">
        <v>2432</v>
      </c>
      <c r="Z702" s="38" t="s">
        <v>303</v>
      </c>
      <c r="AA702" s="35" t="s">
        <v>1464</v>
      </c>
      <c r="AB702" s="32">
        <v>18211</v>
      </c>
      <c r="AC702" s="32" t="s">
        <v>2433</v>
      </c>
      <c r="AH702" s="32" t="s">
        <v>397</v>
      </c>
      <c r="AI702" s="32" t="s">
        <v>2268</v>
      </c>
      <c r="AK702" s="40" t="s">
        <v>1151</v>
      </c>
      <c r="AL702" s="32">
        <v>2007</v>
      </c>
      <c r="AM702" s="32" t="s">
        <v>1152</v>
      </c>
      <c r="AN702" s="32" t="s">
        <v>1153</v>
      </c>
      <c r="AO702" s="38" t="s">
        <v>1154</v>
      </c>
      <c r="AP702" s="35" t="s">
        <v>396</v>
      </c>
    </row>
    <row r="703" spans="1:42" x14ac:dyDescent="0.2">
      <c r="A703" s="40">
        <v>68</v>
      </c>
      <c r="B703" s="40">
        <v>702</v>
      </c>
      <c r="C703" s="40" t="s">
        <v>249</v>
      </c>
      <c r="D703" s="38" t="s">
        <v>150</v>
      </c>
      <c r="E703" s="32" t="s">
        <v>2186</v>
      </c>
      <c r="F703" s="32" t="s">
        <v>29</v>
      </c>
      <c r="G703" s="38" t="s">
        <v>29</v>
      </c>
      <c r="H703" s="32" t="s">
        <v>242</v>
      </c>
      <c r="I703" s="32" t="s">
        <v>243</v>
      </c>
      <c r="J703" s="32" t="s">
        <v>1149</v>
      </c>
      <c r="K703" s="32" t="s">
        <v>129</v>
      </c>
      <c r="L703" s="32" t="s">
        <v>30</v>
      </c>
      <c r="M703" s="32" t="s">
        <v>30</v>
      </c>
      <c r="N703" s="40">
        <v>2002</v>
      </c>
      <c r="O703" s="32">
        <f>VLOOKUP(Data!N1435, CPI!$A$2:$B$112, 2, 0)</f>
        <v>163</v>
      </c>
      <c r="P703" s="32" t="s">
        <v>21</v>
      </c>
      <c r="Q703" s="32" t="s">
        <v>239</v>
      </c>
      <c r="R703" s="32" t="s">
        <v>1148</v>
      </c>
      <c r="S703" s="32">
        <v>12.72</v>
      </c>
      <c r="T703" s="32" t="s">
        <v>2432</v>
      </c>
      <c r="Z703" s="38" t="s">
        <v>303</v>
      </c>
      <c r="AA703" s="35" t="s">
        <v>1464</v>
      </c>
      <c r="AB703" s="32">
        <v>18211</v>
      </c>
      <c r="AC703" s="32" t="s">
        <v>2433</v>
      </c>
      <c r="AH703" s="32" t="s">
        <v>397</v>
      </c>
      <c r="AI703" s="32" t="s">
        <v>2268</v>
      </c>
      <c r="AK703" s="40" t="s">
        <v>1151</v>
      </c>
      <c r="AL703" s="32">
        <v>2007</v>
      </c>
      <c r="AM703" s="32" t="s">
        <v>1152</v>
      </c>
      <c r="AN703" s="32" t="s">
        <v>1153</v>
      </c>
      <c r="AO703" s="38" t="s">
        <v>1154</v>
      </c>
      <c r="AP703" s="35" t="s">
        <v>396</v>
      </c>
    </row>
    <row r="704" spans="1:42" x14ac:dyDescent="0.2">
      <c r="A704" s="40">
        <v>68</v>
      </c>
      <c r="B704" s="40">
        <v>703</v>
      </c>
      <c r="C704" s="40" t="s">
        <v>249</v>
      </c>
      <c r="D704" s="38" t="s">
        <v>150</v>
      </c>
      <c r="E704" s="32" t="s">
        <v>2186</v>
      </c>
      <c r="F704" s="32" t="s">
        <v>29</v>
      </c>
      <c r="G704" s="38" t="s">
        <v>29</v>
      </c>
      <c r="H704" s="32" t="s">
        <v>242</v>
      </c>
      <c r="I704" s="32" t="s">
        <v>243</v>
      </c>
      <c r="J704" s="32" t="s">
        <v>1149</v>
      </c>
      <c r="K704" s="32" t="s">
        <v>129</v>
      </c>
      <c r="L704" s="32" t="s">
        <v>30</v>
      </c>
      <c r="M704" s="32" t="s">
        <v>30</v>
      </c>
      <c r="N704" s="40">
        <v>2002</v>
      </c>
      <c r="O704" s="32">
        <f>VLOOKUP(Data!N1436, CPI!$A$2:$B$112, 2, 0)</f>
        <v>163</v>
      </c>
      <c r="P704" s="32" t="s">
        <v>21</v>
      </c>
      <c r="Q704" s="32" t="s">
        <v>239</v>
      </c>
      <c r="R704" s="32" t="s">
        <v>1145</v>
      </c>
      <c r="S704" s="32">
        <v>9.85</v>
      </c>
      <c r="T704" s="32" t="s">
        <v>2432</v>
      </c>
      <c r="Z704" s="38" t="s">
        <v>303</v>
      </c>
      <c r="AA704" s="35" t="s">
        <v>1464</v>
      </c>
      <c r="AB704" s="32">
        <v>18211</v>
      </c>
      <c r="AC704" s="32" t="s">
        <v>2433</v>
      </c>
      <c r="AH704" s="32" t="s">
        <v>397</v>
      </c>
      <c r="AI704" s="32" t="s">
        <v>2268</v>
      </c>
      <c r="AK704" s="40" t="s">
        <v>1151</v>
      </c>
      <c r="AL704" s="32">
        <v>2007</v>
      </c>
      <c r="AM704" s="32" t="s">
        <v>1152</v>
      </c>
      <c r="AN704" s="32" t="s">
        <v>1153</v>
      </c>
      <c r="AO704" s="38" t="s">
        <v>1154</v>
      </c>
      <c r="AP704" s="35" t="s">
        <v>396</v>
      </c>
    </row>
    <row r="705" spans="1:42" x14ac:dyDescent="0.2">
      <c r="A705" s="40">
        <v>68</v>
      </c>
      <c r="B705" s="40">
        <v>704</v>
      </c>
      <c r="C705" s="40" t="s">
        <v>249</v>
      </c>
      <c r="D705" s="38" t="s">
        <v>150</v>
      </c>
      <c r="E705" s="32" t="s">
        <v>2186</v>
      </c>
      <c r="F705" s="32" t="s">
        <v>29</v>
      </c>
      <c r="G705" s="38" t="s">
        <v>29</v>
      </c>
      <c r="H705" s="32" t="s">
        <v>242</v>
      </c>
      <c r="I705" s="32" t="s">
        <v>243</v>
      </c>
      <c r="J705" s="32" t="s">
        <v>1149</v>
      </c>
      <c r="K705" s="32" t="s">
        <v>129</v>
      </c>
      <c r="L705" s="32" t="s">
        <v>30</v>
      </c>
      <c r="M705" s="32" t="s">
        <v>30</v>
      </c>
      <c r="N705" s="40">
        <v>2002</v>
      </c>
      <c r="O705" s="32">
        <f>VLOOKUP(Data!N1437, CPI!$A$2:$B$112, 2, 0)</f>
        <v>163</v>
      </c>
      <c r="P705" s="32" t="s">
        <v>21</v>
      </c>
      <c r="Q705" s="32" t="s">
        <v>239</v>
      </c>
      <c r="R705" s="32" t="s">
        <v>1146</v>
      </c>
      <c r="S705" s="32">
        <v>14.72</v>
      </c>
      <c r="T705" s="32" t="s">
        <v>2432</v>
      </c>
      <c r="Z705" s="38" t="s">
        <v>303</v>
      </c>
      <c r="AA705" s="35" t="s">
        <v>1464</v>
      </c>
      <c r="AB705" s="32">
        <v>18211</v>
      </c>
      <c r="AC705" s="32" t="s">
        <v>2433</v>
      </c>
      <c r="AH705" s="32" t="s">
        <v>397</v>
      </c>
      <c r="AI705" s="32" t="s">
        <v>2268</v>
      </c>
      <c r="AK705" s="40" t="s">
        <v>1151</v>
      </c>
      <c r="AL705" s="32">
        <v>2007</v>
      </c>
      <c r="AM705" s="32" t="s">
        <v>1152</v>
      </c>
      <c r="AN705" s="32" t="s">
        <v>1153</v>
      </c>
      <c r="AO705" s="38" t="s">
        <v>1154</v>
      </c>
      <c r="AP705" s="35" t="s">
        <v>396</v>
      </c>
    </row>
    <row r="706" spans="1:42" x14ac:dyDescent="0.2">
      <c r="A706" s="40">
        <v>68</v>
      </c>
      <c r="B706" s="40">
        <v>705</v>
      </c>
      <c r="C706" s="40" t="s">
        <v>249</v>
      </c>
      <c r="D706" s="54" t="s">
        <v>216</v>
      </c>
      <c r="E706" s="32" t="s">
        <v>2186</v>
      </c>
      <c r="F706" s="32" t="s">
        <v>29</v>
      </c>
      <c r="G706" s="38" t="s">
        <v>29</v>
      </c>
      <c r="H706" s="32" t="s">
        <v>242</v>
      </c>
      <c r="I706" s="32" t="s">
        <v>243</v>
      </c>
      <c r="J706" s="32" t="s">
        <v>1150</v>
      </c>
      <c r="K706" s="32" t="s">
        <v>129</v>
      </c>
      <c r="L706" s="32" t="s">
        <v>30</v>
      </c>
      <c r="M706" s="32" t="s">
        <v>30</v>
      </c>
      <c r="N706" s="40">
        <v>2002</v>
      </c>
      <c r="O706" s="32">
        <f>VLOOKUP(Data!N1438, CPI!$A$2:$B$112, 2, 0)</f>
        <v>163</v>
      </c>
      <c r="P706" s="32" t="s">
        <v>21</v>
      </c>
      <c r="Q706" s="32" t="s">
        <v>239</v>
      </c>
      <c r="R706" s="32" t="s">
        <v>1143</v>
      </c>
      <c r="S706" s="32">
        <v>6.34</v>
      </c>
      <c r="T706" s="32" t="s">
        <v>2432</v>
      </c>
      <c r="Z706" s="38" t="s">
        <v>303</v>
      </c>
      <c r="AA706" s="35" t="s">
        <v>1464</v>
      </c>
      <c r="AB706" s="32">
        <v>90000</v>
      </c>
      <c r="AC706" s="32" t="s">
        <v>2433</v>
      </c>
      <c r="AH706" s="32" t="s">
        <v>397</v>
      </c>
      <c r="AI706" s="32" t="s">
        <v>2268</v>
      </c>
      <c r="AK706" s="40" t="s">
        <v>1151</v>
      </c>
      <c r="AL706" s="32">
        <v>2007</v>
      </c>
      <c r="AM706" s="32" t="s">
        <v>1152</v>
      </c>
      <c r="AN706" s="32" t="s">
        <v>1153</v>
      </c>
      <c r="AO706" s="38" t="s">
        <v>1154</v>
      </c>
      <c r="AP706" s="35" t="s">
        <v>396</v>
      </c>
    </row>
    <row r="707" spans="1:42" x14ac:dyDescent="0.2">
      <c r="A707" s="40">
        <v>68</v>
      </c>
      <c r="B707" s="40">
        <v>706</v>
      </c>
      <c r="C707" s="40" t="s">
        <v>249</v>
      </c>
      <c r="D707" s="54" t="s">
        <v>216</v>
      </c>
      <c r="E707" s="32" t="s">
        <v>2186</v>
      </c>
      <c r="F707" s="32" t="s">
        <v>29</v>
      </c>
      <c r="G707" s="38" t="s">
        <v>29</v>
      </c>
      <c r="H707" s="32" t="s">
        <v>242</v>
      </c>
      <c r="I707" s="32" t="s">
        <v>243</v>
      </c>
      <c r="J707" s="32" t="s">
        <v>1150</v>
      </c>
      <c r="K707" s="32" t="s">
        <v>129</v>
      </c>
      <c r="L707" s="32" t="s">
        <v>30</v>
      </c>
      <c r="M707" s="32" t="s">
        <v>30</v>
      </c>
      <c r="N707" s="40">
        <v>2002</v>
      </c>
      <c r="O707" s="32">
        <f>VLOOKUP(Data!N1439, CPI!$A$2:$B$112, 2, 0)</f>
        <v>163</v>
      </c>
      <c r="P707" s="32" t="s">
        <v>21</v>
      </c>
      <c r="Q707" s="32" t="s">
        <v>239</v>
      </c>
      <c r="R707" s="32" t="s">
        <v>1144</v>
      </c>
      <c r="S707" s="32">
        <v>9.98</v>
      </c>
      <c r="T707" s="32" t="s">
        <v>2432</v>
      </c>
      <c r="Z707" s="38" t="s">
        <v>303</v>
      </c>
      <c r="AA707" s="35" t="s">
        <v>1464</v>
      </c>
      <c r="AB707" s="32">
        <v>90000</v>
      </c>
      <c r="AC707" s="32" t="s">
        <v>2433</v>
      </c>
      <c r="AH707" s="32" t="s">
        <v>397</v>
      </c>
      <c r="AI707" s="32" t="s">
        <v>2268</v>
      </c>
      <c r="AK707" s="40" t="s">
        <v>1151</v>
      </c>
      <c r="AL707" s="32">
        <v>2007</v>
      </c>
      <c r="AM707" s="32" t="s">
        <v>1152</v>
      </c>
      <c r="AN707" s="32" t="s">
        <v>1153</v>
      </c>
      <c r="AO707" s="38" t="s">
        <v>1154</v>
      </c>
      <c r="AP707" s="35" t="s">
        <v>396</v>
      </c>
    </row>
    <row r="708" spans="1:42" x14ac:dyDescent="0.2">
      <c r="A708" s="40">
        <v>68</v>
      </c>
      <c r="B708" s="40">
        <v>707</v>
      </c>
      <c r="C708" s="40" t="s">
        <v>249</v>
      </c>
      <c r="D708" s="54" t="s">
        <v>216</v>
      </c>
      <c r="E708" s="32" t="s">
        <v>2186</v>
      </c>
      <c r="F708" s="32" t="s">
        <v>29</v>
      </c>
      <c r="G708" s="38" t="s">
        <v>29</v>
      </c>
      <c r="H708" s="32" t="s">
        <v>242</v>
      </c>
      <c r="I708" s="32" t="s">
        <v>243</v>
      </c>
      <c r="J708" s="32" t="s">
        <v>1150</v>
      </c>
      <c r="K708" s="32" t="s">
        <v>129</v>
      </c>
      <c r="L708" s="32" t="s">
        <v>30</v>
      </c>
      <c r="M708" s="32" t="s">
        <v>30</v>
      </c>
      <c r="N708" s="40">
        <v>2002</v>
      </c>
      <c r="O708" s="32">
        <f>VLOOKUP(Data!N1440, CPI!$A$2:$B$112, 2, 0)</f>
        <v>207.3</v>
      </c>
      <c r="P708" s="32" t="s">
        <v>21</v>
      </c>
      <c r="Q708" s="32" t="s">
        <v>239</v>
      </c>
      <c r="R708" s="32" t="s">
        <v>1147</v>
      </c>
      <c r="S708" s="32">
        <v>9.92</v>
      </c>
      <c r="T708" s="32" t="s">
        <v>2432</v>
      </c>
      <c r="Z708" s="38" t="s">
        <v>303</v>
      </c>
      <c r="AA708" s="35" t="s">
        <v>1464</v>
      </c>
      <c r="AB708" s="32">
        <v>90000</v>
      </c>
      <c r="AC708" s="32" t="s">
        <v>2433</v>
      </c>
      <c r="AH708" s="32" t="s">
        <v>397</v>
      </c>
      <c r="AI708" s="32" t="s">
        <v>2268</v>
      </c>
      <c r="AK708" s="40" t="s">
        <v>1151</v>
      </c>
      <c r="AL708" s="32">
        <v>2007</v>
      </c>
      <c r="AM708" s="32" t="s">
        <v>1152</v>
      </c>
      <c r="AN708" s="32" t="s">
        <v>1153</v>
      </c>
      <c r="AO708" s="38" t="s">
        <v>1154</v>
      </c>
      <c r="AP708" s="35" t="s">
        <v>396</v>
      </c>
    </row>
    <row r="709" spans="1:42" x14ac:dyDescent="0.2">
      <c r="A709" s="40">
        <v>68</v>
      </c>
      <c r="B709" s="40">
        <v>708</v>
      </c>
      <c r="C709" s="40" t="s">
        <v>249</v>
      </c>
      <c r="D709" s="54" t="s">
        <v>216</v>
      </c>
      <c r="E709" s="32" t="s">
        <v>2186</v>
      </c>
      <c r="F709" s="32" t="s">
        <v>29</v>
      </c>
      <c r="G709" s="38" t="s">
        <v>29</v>
      </c>
      <c r="H709" s="32" t="s">
        <v>242</v>
      </c>
      <c r="I709" s="32" t="s">
        <v>243</v>
      </c>
      <c r="J709" s="32" t="s">
        <v>1150</v>
      </c>
      <c r="K709" s="32" t="s">
        <v>129</v>
      </c>
      <c r="L709" s="32" t="s">
        <v>30</v>
      </c>
      <c r="M709" s="32" t="s">
        <v>30</v>
      </c>
      <c r="N709" s="40">
        <v>2002</v>
      </c>
      <c r="O709" s="32">
        <f>VLOOKUP(Data!N1441, CPI!$A$2:$B$112, 2, 0)</f>
        <v>207.3</v>
      </c>
      <c r="P709" s="32" t="s">
        <v>21</v>
      </c>
      <c r="Q709" s="32" t="s">
        <v>239</v>
      </c>
      <c r="R709" s="32" t="s">
        <v>1148</v>
      </c>
      <c r="S709" s="32">
        <v>16.05</v>
      </c>
      <c r="T709" s="32" t="s">
        <v>2432</v>
      </c>
      <c r="Z709" s="38" t="s">
        <v>303</v>
      </c>
      <c r="AA709" s="35" t="s">
        <v>1464</v>
      </c>
      <c r="AB709" s="32">
        <v>90000</v>
      </c>
      <c r="AC709" s="32" t="s">
        <v>2433</v>
      </c>
      <c r="AH709" s="32" t="s">
        <v>397</v>
      </c>
      <c r="AI709" s="32" t="s">
        <v>2268</v>
      </c>
      <c r="AK709" s="40" t="s">
        <v>1151</v>
      </c>
      <c r="AL709" s="32">
        <v>2007</v>
      </c>
      <c r="AM709" s="32" t="s">
        <v>1152</v>
      </c>
      <c r="AN709" s="32" t="s">
        <v>1153</v>
      </c>
      <c r="AO709" s="38" t="s">
        <v>1154</v>
      </c>
      <c r="AP709" s="35" t="s">
        <v>396</v>
      </c>
    </row>
    <row r="710" spans="1:42" x14ac:dyDescent="0.2">
      <c r="A710" s="40">
        <v>68</v>
      </c>
      <c r="B710" s="40">
        <v>709</v>
      </c>
      <c r="C710" s="40" t="s">
        <v>249</v>
      </c>
      <c r="D710" s="54" t="s">
        <v>216</v>
      </c>
      <c r="E710" s="32" t="s">
        <v>2186</v>
      </c>
      <c r="F710" s="32" t="s">
        <v>29</v>
      </c>
      <c r="G710" s="38" t="s">
        <v>29</v>
      </c>
      <c r="H710" s="32" t="s">
        <v>242</v>
      </c>
      <c r="I710" s="32" t="s">
        <v>243</v>
      </c>
      <c r="J710" s="32" t="s">
        <v>1150</v>
      </c>
      <c r="K710" s="32" t="s">
        <v>129</v>
      </c>
      <c r="L710" s="32" t="s">
        <v>30</v>
      </c>
      <c r="M710" s="32" t="s">
        <v>30</v>
      </c>
      <c r="N710" s="40">
        <v>2002</v>
      </c>
      <c r="O710" s="32">
        <f>VLOOKUP(Data!N1442, CPI!$A$2:$B$112, 2, 0)</f>
        <v>207.3</v>
      </c>
      <c r="P710" s="32" t="s">
        <v>21</v>
      </c>
      <c r="Q710" s="32" t="s">
        <v>239</v>
      </c>
      <c r="R710" s="32" t="s">
        <v>1145</v>
      </c>
      <c r="S710" s="32">
        <v>4.6900000000000004</v>
      </c>
      <c r="T710" s="32" t="s">
        <v>2432</v>
      </c>
      <c r="Z710" s="38" t="s">
        <v>303</v>
      </c>
      <c r="AA710" s="35" t="s">
        <v>1464</v>
      </c>
      <c r="AB710" s="32">
        <v>90000</v>
      </c>
      <c r="AC710" s="32" t="s">
        <v>2433</v>
      </c>
      <c r="AH710" s="32" t="s">
        <v>397</v>
      </c>
      <c r="AI710" s="32" t="s">
        <v>2268</v>
      </c>
      <c r="AK710" s="40" t="s">
        <v>1151</v>
      </c>
      <c r="AL710" s="32">
        <v>2007</v>
      </c>
      <c r="AM710" s="32" t="s">
        <v>1152</v>
      </c>
      <c r="AN710" s="32" t="s">
        <v>1153</v>
      </c>
      <c r="AO710" s="38" t="s">
        <v>1154</v>
      </c>
      <c r="AP710" s="35" t="s">
        <v>396</v>
      </c>
    </row>
    <row r="711" spans="1:42" x14ac:dyDescent="0.2">
      <c r="A711" s="40">
        <v>68</v>
      </c>
      <c r="B711" s="40">
        <v>710</v>
      </c>
      <c r="C711" s="40" t="s">
        <v>249</v>
      </c>
      <c r="D711" s="54" t="s">
        <v>216</v>
      </c>
      <c r="E711" s="32" t="s">
        <v>2186</v>
      </c>
      <c r="F711" s="32" t="s">
        <v>29</v>
      </c>
      <c r="G711" s="38" t="s">
        <v>29</v>
      </c>
      <c r="H711" s="32" t="s">
        <v>242</v>
      </c>
      <c r="I711" s="32" t="s">
        <v>243</v>
      </c>
      <c r="J711" s="32" t="s">
        <v>1150</v>
      </c>
      <c r="K711" s="32" t="s">
        <v>129</v>
      </c>
      <c r="L711" s="32" t="s">
        <v>30</v>
      </c>
      <c r="M711" s="32" t="s">
        <v>30</v>
      </c>
      <c r="N711" s="40">
        <v>2002</v>
      </c>
      <c r="O711" s="32">
        <f>VLOOKUP(Data!N1443, CPI!$A$2:$B$112, 2, 0)</f>
        <v>207.3</v>
      </c>
      <c r="P711" s="32" t="s">
        <v>21</v>
      </c>
      <c r="Q711" s="32" t="s">
        <v>239</v>
      </c>
      <c r="R711" s="32" t="s">
        <v>1146</v>
      </c>
      <c r="S711" s="32">
        <v>8.2799999999999994</v>
      </c>
      <c r="T711" s="32" t="s">
        <v>2432</v>
      </c>
      <c r="Z711" s="38" t="s">
        <v>303</v>
      </c>
      <c r="AA711" s="35" t="s">
        <v>1464</v>
      </c>
      <c r="AB711" s="32">
        <v>90000</v>
      </c>
      <c r="AC711" s="32" t="s">
        <v>2433</v>
      </c>
      <c r="AH711" s="32" t="s">
        <v>397</v>
      </c>
      <c r="AI711" s="32" t="s">
        <v>2268</v>
      </c>
      <c r="AK711" s="40" t="s">
        <v>1151</v>
      </c>
      <c r="AL711" s="32">
        <v>2007</v>
      </c>
      <c r="AM711" s="32" t="s">
        <v>1152</v>
      </c>
      <c r="AN711" s="32" t="s">
        <v>1153</v>
      </c>
      <c r="AO711" s="38" t="s">
        <v>1154</v>
      </c>
      <c r="AP711" s="35" t="s">
        <v>396</v>
      </c>
    </row>
    <row r="712" spans="1:42" x14ac:dyDescent="0.2">
      <c r="A712" s="40">
        <v>69</v>
      </c>
      <c r="B712" s="40">
        <v>711</v>
      </c>
      <c r="C712" s="40" t="s">
        <v>114</v>
      </c>
      <c r="D712" s="38" t="s">
        <v>218</v>
      </c>
      <c r="E712" s="32" t="s">
        <v>2186</v>
      </c>
      <c r="F712" s="32" t="s">
        <v>29</v>
      </c>
      <c r="G712" s="38" t="s">
        <v>29</v>
      </c>
      <c r="H712" s="32" t="s">
        <v>115</v>
      </c>
      <c r="I712" s="32" t="s">
        <v>243</v>
      </c>
      <c r="J712" s="32" t="s">
        <v>2435</v>
      </c>
      <c r="K712" s="32" t="s">
        <v>129</v>
      </c>
      <c r="L712" s="32" t="s">
        <v>30</v>
      </c>
      <c r="M712" s="32" t="s">
        <v>30</v>
      </c>
      <c r="N712" s="40">
        <v>2005</v>
      </c>
      <c r="O712" s="32">
        <f>VLOOKUP(Data!N111, CPI!$A$2:$B$112, 2, 0)</f>
        <v>237.017</v>
      </c>
      <c r="P712" s="32" t="s">
        <v>21</v>
      </c>
      <c r="Q712" s="32" t="s">
        <v>247</v>
      </c>
      <c r="R712" s="32" t="s">
        <v>1155</v>
      </c>
      <c r="S712" s="32">
        <v>50000</v>
      </c>
      <c r="T712" s="32" t="s">
        <v>2211</v>
      </c>
      <c r="U712" s="32">
        <v>50000</v>
      </c>
      <c r="V712" s="32" t="s">
        <v>2211</v>
      </c>
      <c r="W712" s="32">
        <f>VLOOKUP(N712, 'Exchange rate-Kenya'!$A$3:$B$65, 2, 0)</f>
        <v>75.554109451431103</v>
      </c>
      <c r="X712" s="32">
        <f>U712/W712</f>
        <v>661.77737204541859</v>
      </c>
      <c r="Y712" s="32">
        <f>(CPI!$B$112/O712)*X712</f>
        <v>850.69078985194733</v>
      </c>
      <c r="Z712" s="38" t="s">
        <v>303</v>
      </c>
      <c r="AA712" s="35" t="s">
        <v>2434</v>
      </c>
      <c r="AB712" s="32" t="s">
        <v>30</v>
      </c>
      <c r="AH712" s="32" t="s">
        <v>411</v>
      </c>
      <c r="AK712" s="40" t="s">
        <v>1157</v>
      </c>
      <c r="AL712" s="32">
        <v>2009</v>
      </c>
      <c r="AM712" s="32" t="s">
        <v>1158</v>
      </c>
      <c r="AN712" s="32" t="s">
        <v>1159</v>
      </c>
      <c r="AO712" s="38" t="s">
        <v>1160</v>
      </c>
      <c r="AP712" s="35" t="s">
        <v>396</v>
      </c>
    </row>
    <row r="713" spans="1:42" x14ac:dyDescent="0.2">
      <c r="A713" s="40">
        <v>69</v>
      </c>
      <c r="B713" s="40">
        <v>712</v>
      </c>
      <c r="C713" s="40" t="s">
        <v>114</v>
      </c>
      <c r="D713" s="38" t="s">
        <v>218</v>
      </c>
      <c r="E713" s="32" t="s">
        <v>2186</v>
      </c>
      <c r="F713" s="32" t="s">
        <v>29</v>
      </c>
      <c r="G713" s="38" t="s">
        <v>29</v>
      </c>
      <c r="H713" s="32" t="s">
        <v>115</v>
      </c>
      <c r="I713" s="32" t="s">
        <v>243</v>
      </c>
      <c r="J713" s="32" t="s">
        <v>2435</v>
      </c>
      <c r="K713" s="32" t="s">
        <v>129</v>
      </c>
      <c r="L713" s="32" t="s">
        <v>30</v>
      </c>
      <c r="M713" s="32" t="s">
        <v>30</v>
      </c>
      <c r="N713" s="40">
        <v>2005</v>
      </c>
      <c r="O713" s="32">
        <f>VLOOKUP(Data!N112, CPI!$A$2:$B$112, 2, 0)</f>
        <v>237.017</v>
      </c>
      <c r="P713" s="32" t="s">
        <v>21</v>
      </c>
      <c r="Q713" s="32" t="s">
        <v>247</v>
      </c>
      <c r="R713" s="32" t="s">
        <v>1156</v>
      </c>
      <c r="S713" s="32">
        <v>15000</v>
      </c>
      <c r="T713" s="32" t="s">
        <v>2211</v>
      </c>
      <c r="U713" s="32">
        <v>15000</v>
      </c>
      <c r="V713" s="32" t="s">
        <v>2211</v>
      </c>
      <c r="W713" s="32">
        <f>VLOOKUP(N713, 'Exchange rate-Kenya'!$A$3:$B$65, 2, 0)</f>
        <v>75.554109451431103</v>
      </c>
      <c r="X713" s="32">
        <f>U713/W713</f>
        <v>198.53321161362558</v>
      </c>
      <c r="Y713" s="32">
        <f>(CPI!$B$112/O713)*X713</f>
        <v>255.20723695558422</v>
      </c>
      <c r="Z713" s="38" t="s">
        <v>303</v>
      </c>
      <c r="AA713" s="35" t="s">
        <v>2434</v>
      </c>
      <c r="AB713" s="32" t="s">
        <v>30</v>
      </c>
      <c r="AH713" s="32" t="s">
        <v>411</v>
      </c>
      <c r="AK713" s="40" t="s">
        <v>1157</v>
      </c>
      <c r="AL713" s="32">
        <v>2009</v>
      </c>
      <c r="AM713" s="32" t="s">
        <v>1158</v>
      </c>
      <c r="AN713" s="32" t="s">
        <v>1159</v>
      </c>
      <c r="AO713" s="38" t="s">
        <v>1160</v>
      </c>
      <c r="AP713" s="35" t="s">
        <v>396</v>
      </c>
    </row>
    <row r="714" spans="1:42" x14ac:dyDescent="0.2">
      <c r="A714" s="40">
        <v>69</v>
      </c>
      <c r="B714" s="40">
        <v>713</v>
      </c>
      <c r="C714" s="40" t="s">
        <v>114</v>
      </c>
      <c r="D714" s="38" t="s">
        <v>218</v>
      </c>
      <c r="E714" s="32" t="s">
        <v>2186</v>
      </c>
      <c r="F714" s="32" t="s">
        <v>29</v>
      </c>
      <c r="G714" s="38" t="s">
        <v>29</v>
      </c>
      <c r="H714" s="32" t="s">
        <v>115</v>
      </c>
      <c r="I714" s="32" t="s">
        <v>243</v>
      </c>
      <c r="J714" s="32" t="s">
        <v>2435</v>
      </c>
      <c r="K714" s="32" t="s">
        <v>129</v>
      </c>
      <c r="L714" s="32" t="s">
        <v>30</v>
      </c>
      <c r="M714" s="32" t="s">
        <v>30</v>
      </c>
      <c r="N714" s="40">
        <v>2005</v>
      </c>
      <c r="O714" s="32">
        <f>VLOOKUP(Data!N113, CPI!$A$2:$B$112, 2, 0)</f>
        <v>218.05600000000001</v>
      </c>
      <c r="P714" s="32" t="s">
        <v>21</v>
      </c>
      <c r="Q714" s="32" t="s">
        <v>247</v>
      </c>
      <c r="R714" s="32" t="s">
        <v>1155</v>
      </c>
      <c r="S714" s="32">
        <v>45</v>
      </c>
      <c r="T714" s="32" t="s">
        <v>2211</v>
      </c>
      <c r="U714" s="32">
        <v>45</v>
      </c>
      <c r="V714" s="32" t="s">
        <v>2211</v>
      </c>
      <c r="W714" s="32">
        <f>VLOOKUP(N714, 'Exchange rate-Kenya'!$A$3:$B$65, 2, 0)</f>
        <v>75.554109451431103</v>
      </c>
      <c r="X714" s="32">
        <f>U714/W714</f>
        <v>0.59559963484087675</v>
      </c>
      <c r="Y714" s="32">
        <f>(CPI!$B$112/O714)*X714</f>
        <v>0.83219613789350033</v>
      </c>
      <c r="Z714" s="38" t="s">
        <v>303</v>
      </c>
      <c r="AA714" s="35" t="s">
        <v>2434</v>
      </c>
      <c r="AB714" s="32" t="s">
        <v>30</v>
      </c>
      <c r="AH714" s="32" t="s">
        <v>411</v>
      </c>
      <c r="AK714" s="40" t="s">
        <v>1157</v>
      </c>
      <c r="AL714" s="32">
        <v>2009</v>
      </c>
      <c r="AM714" s="32" t="s">
        <v>1158</v>
      </c>
      <c r="AN714" s="32" t="s">
        <v>1159</v>
      </c>
      <c r="AO714" s="38" t="s">
        <v>1160</v>
      </c>
      <c r="AP714" s="35" t="s">
        <v>396</v>
      </c>
    </row>
    <row r="715" spans="1:42" x14ac:dyDescent="0.2">
      <c r="A715" s="40">
        <v>69</v>
      </c>
      <c r="B715" s="40">
        <v>714</v>
      </c>
      <c r="C715" s="40" t="s">
        <v>114</v>
      </c>
      <c r="D715" s="38" t="s">
        <v>218</v>
      </c>
      <c r="E715" s="32" t="s">
        <v>2186</v>
      </c>
      <c r="F715" s="32" t="s">
        <v>29</v>
      </c>
      <c r="G715" s="38" t="s">
        <v>29</v>
      </c>
      <c r="H715" s="32" t="s">
        <v>115</v>
      </c>
      <c r="I715" s="32" t="s">
        <v>243</v>
      </c>
      <c r="J715" s="32" t="s">
        <v>2435</v>
      </c>
      <c r="K715" s="32" t="s">
        <v>129</v>
      </c>
      <c r="L715" s="32" t="s">
        <v>30</v>
      </c>
      <c r="M715" s="32" t="s">
        <v>30</v>
      </c>
      <c r="N715" s="40">
        <v>2005</v>
      </c>
      <c r="O715" s="32">
        <f>VLOOKUP(Data!N114, CPI!$A$2:$B$112, 2, 0)</f>
        <v>304.67675000000003</v>
      </c>
      <c r="P715" s="32" t="s">
        <v>21</v>
      </c>
      <c r="Q715" s="32" t="s">
        <v>247</v>
      </c>
      <c r="R715" s="32" t="s">
        <v>1156</v>
      </c>
      <c r="S715" s="32">
        <v>5000</v>
      </c>
      <c r="T715" s="32" t="s">
        <v>2211</v>
      </c>
      <c r="U715" s="32">
        <v>5000</v>
      </c>
      <c r="V715" s="32" t="s">
        <v>2211</v>
      </c>
      <c r="W715" s="32">
        <f>VLOOKUP(N715, 'Exchange rate-Kenya'!$A$3:$B$65, 2, 0)</f>
        <v>75.554109451431103</v>
      </c>
      <c r="X715" s="32">
        <f>U715/W715</f>
        <v>66.177737204541856</v>
      </c>
      <c r="Y715" s="32">
        <f>(CPI!$B$112/O715)*X715</f>
        <v>66.177737204541856</v>
      </c>
      <c r="Z715" s="38" t="s">
        <v>303</v>
      </c>
      <c r="AA715" s="35" t="s">
        <v>2434</v>
      </c>
      <c r="AB715" s="32" t="s">
        <v>30</v>
      </c>
      <c r="AH715" s="32" t="s">
        <v>411</v>
      </c>
      <c r="AK715" s="40" t="s">
        <v>1157</v>
      </c>
      <c r="AL715" s="32">
        <v>2009</v>
      </c>
      <c r="AM715" s="32" t="s">
        <v>1158</v>
      </c>
      <c r="AN715" s="32" t="s">
        <v>1159</v>
      </c>
      <c r="AO715" s="38" t="s">
        <v>1160</v>
      </c>
      <c r="AP715" s="35" t="s">
        <v>396</v>
      </c>
    </row>
    <row r="716" spans="1:42" x14ac:dyDescent="0.2">
      <c r="A716" s="40">
        <v>70</v>
      </c>
      <c r="B716" s="40">
        <v>715</v>
      </c>
      <c r="C716" s="40" t="s">
        <v>114</v>
      </c>
      <c r="D716" s="38" t="s">
        <v>218</v>
      </c>
      <c r="E716" s="32" t="s">
        <v>2186</v>
      </c>
      <c r="F716" s="32" t="s">
        <v>21</v>
      </c>
      <c r="G716" s="38" t="s">
        <v>163</v>
      </c>
      <c r="H716" s="32" t="s">
        <v>151</v>
      </c>
      <c r="I716" s="32" t="s">
        <v>243</v>
      </c>
      <c r="J716" s="32" t="s">
        <v>1164</v>
      </c>
      <c r="K716" s="32" t="s">
        <v>129</v>
      </c>
      <c r="L716" s="32" t="s">
        <v>30</v>
      </c>
      <c r="M716" s="32" t="s">
        <v>30</v>
      </c>
      <c r="N716" s="40">
        <v>2014</v>
      </c>
      <c r="O716" s="32">
        <f>VLOOKUP(Data!N597, CPI!$A$2:$B$112, 2, 0)</f>
        <v>195.3</v>
      </c>
      <c r="P716" s="32" t="s">
        <v>56</v>
      </c>
      <c r="Q716" s="32" t="s">
        <v>239</v>
      </c>
      <c r="R716" s="32" t="s">
        <v>2436</v>
      </c>
      <c r="S716" s="32">
        <v>928739.6</v>
      </c>
      <c r="T716" s="32" t="s">
        <v>300</v>
      </c>
      <c r="U716" s="32">
        <f>S716/AB716</f>
        <v>231.76771810740667</v>
      </c>
      <c r="V716" s="32" t="s">
        <v>316</v>
      </c>
      <c r="X716" s="32">
        <f>U716</f>
        <v>231.76771810740667</v>
      </c>
      <c r="Y716" s="32">
        <f>(CPI!$B$112/O716)*X716</f>
        <v>361.5680241058925</v>
      </c>
      <c r="Z716" s="38" t="s">
        <v>262</v>
      </c>
      <c r="AA716" s="35" t="s">
        <v>1449</v>
      </c>
      <c r="AB716" s="32">
        <f>229.2+1576+2202</f>
        <v>4007.2</v>
      </c>
      <c r="AC716" s="32" t="s">
        <v>1449</v>
      </c>
      <c r="AH716" s="32" t="s">
        <v>411</v>
      </c>
      <c r="AI716" s="32" t="s">
        <v>1539</v>
      </c>
      <c r="AJ716" s="35" t="s">
        <v>2278</v>
      </c>
      <c r="AK716" s="40" t="s">
        <v>1165</v>
      </c>
      <c r="AL716" s="32">
        <v>2014</v>
      </c>
      <c r="AM716" s="32" t="s">
        <v>1166</v>
      </c>
      <c r="AN716" s="32" t="s">
        <v>1167</v>
      </c>
      <c r="AO716" s="38" t="s">
        <v>1168</v>
      </c>
      <c r="AP716" s="35" t="s">
        <v>396</v>
      </c>
    </row>
    <row r="717" spans="1:42" x14ac:dyDescent="0.2">
      <c r="A717" s="40">
        <v>70</v>
      </c>
      <c r="B717" s="40">
        <v>716</v>
      </c>
      <c r="C717" s="40" t="s">
        <v>114</v>
      </c>
      <c r="D717" s="38" t="s">
        <v>218</v>
      </c>
      <c r="E717" s="32" t="s">
        <v>2186</v>
      </c>
      <c r="F717" s="32" t="s">
        <v>21</v>
      </c>
      <c r="G717" s="38" t="s">
        <v>163</v>
      </c>
      <c r="H717" s="32" t="s">
        <v>151</v>
      </c>
      <c r="I717" s="32" t="s">
        <v>243</v>
      </c>
      <c r="J717" s="32" t="s">
        <v>1164</v>
      </c>
      <c r="K717" s="32" t="s">
        <v>129</v>
      </c>
      <c r="L717" s="32" t="s">
        <v>30</v>
      </c>
      <c r="M717" s="32" t="s">
        <v>30</v>
      </c>
      <c r="N717" s="40">
        <v>2014</v>
      </c>
      <c r="O717" s="32">
        <f>VLOOKUP(Data!N598, CPI!$A$2:$B$112, 2, 0)</f>
        <v>195.3</v>
      </c>
      <c r="P717" s="32" t="s">
        <v>56</v>
      </c>
      <c r="Q717" s="32" t="s">
        <v>239</v>
      </c>
      <c r="R717" s="32" t="s">
        <v>1161</v>
      </c>
      <c r="S717" s="32">
        <v>938</v>
      </c>
      <c r="T717" s="32" t="s">
        <v>316</v>
      </c>
      <c r="U717" s="32">
        <v>938</v>
      </c>
      <c r="V717" s="32" t="s">
        <v>316</v>
      </c>
      <c r="X717" s="32">
        <f>U717</f>
        <v>938</v>
      </c>
      <c r="Y717" s="32">
        <f>(CPI!$B$112/O717)*X717</f>
        <v>1463.3220250896056</v>
      </c>
      <c r="Z717" s="38" t="s">
        <v>262</v>
      </c>
      <c r="AA717" s="35" t="s">
        <v>1449</v>
      </c>
      <c r="AB717" s="32">
        <v>229.2</v>
      </c>
      <c r="AH717" s="32" t="s">
        <v>411</v>
      </c>
      <c r="AI717" s="32" t="s">
        <v>1539</v>
      </c>
      <c r="AK717" s="40" t="s">
        <v>1165</v>
      </c>
      <c r="AL717" s="32">
        <v>2014</v>
      </c>
      <c r="AM717" s="32" t="s">
        <v>1166</v>
      </c>
      <c r="AN717" s="32" t="s">
        <v>1167</v>
      </c>
      <c r="AO717" s="38" t="s">
        <v>1168</v>
      </c>
      <c r="AP717" s="35" t="s">
        <v>396</v>
      </c>
    </row>
    <row r="718" spans="1:42" x14ac:dyDescent="0.2">
      <c r="A718" s="40">
        <v>70</v>
      </c>
      <c r="B718" s="40">
        <v>717</v>
      </c>
      <c r="C718" s="40" t="s">
        <v>114</v>
      </c>
      <c r="D718" s="38" t="s">
        <v>218</v>
      </c>
      <c r="E718" s="32" t="s">
        <v>2186</v>
      </c>
      <c r="F718" s="32" t="s">
        <v>21</v>
      </c>
      <c r="G718" s="38" t="s">
        <v>163</v>
      </c>
      <c r="H718" s="32" t="s">
        <v>151</v>
      </c>
      <c r="I718" s="32" t="s">
        <v>243</v>
      </c>
      <c r="J718" s="32" t="s">
        <v>1164</v>
      </c>
      <c r="K718" s="32" t="s">
        <v>129</v>
      </c>
      <c r="L718" s="32" t="s">
        <v>30</v>
      </c>
      <c r="M718" s="32" t="s">
        <v>30</v>
      </c>
      <c r="N718" s="40">
        <v>2014</v>
      </c>
      <c r="O718" s="32">
        <f>VLOOKUP(Data!N599, CPI!$A$2:$B$112, 2, 0)</f>
        <v>195.3</v>
      </c>
      <c r="P718" s="32" t="s">
        <v>56</v>
      </c>
      <c r="Q718" s="32" t="s">
        <v>239</v>
      </c>
      <c r="R718" s="32" t="s">
        <v>1162</v>
      </c>
      <c r="S718" s="32">
        <v>312.5</v>
      </c>
      <c r="T718" s="32" t="s">
        <v>316</v>
      </c>
      <c r="U718" s="32">
        <v>312.5</v>
      </c>
      <c r="V718" s="32" t="s">
        <v>316</v>
      </c>
      <c r="X718" s="32">
        <f>U718</f>
        <v>312.5</v>
      </c>
      <c r="Y718" s="32">
        <f>(CPI!$B$112/O718)*X718</f>
        <v>487.51400089605733</v>
      </c>
      <c r="Z718" s="38" t="s">
        <v>262</v>
      </c>
      <c r="AA718" s="35" t="s">
        <v>1449</v>
      </c>
      <c r="AB718" s="32">
        <v>2202</v>
      </c>
      <c r="AH718" s="32" t="s">
        <v>411</v>
      </c>
      <c r="AI718" s="32" t="s">
        <v>1539</v>
      </c>
      <c r="AK718" s="40" t="s">
        <v>1165</v>
      </c>
      <c r="AL718" s="32">
        <v>2014</v>
      </c>
      <c r="AM718" s="32" t="s">
        <v>1166</v>
      </c>
      <c r="AN718" s="32" t="s">
        <v>1167</v>
      </c>
      <c r="AO718" s="38" t="s">
        <v>1168</v>
      </c>
      <c r="AP718" s="35" t="s">
        <v>396</v>
      </c>
    </row>
    <row r="719" spans="1:42" x14ac:dyDescent="0.2">
      <c r="A719" s="40">
        <v>70</v>
      </c>
      <c r="B719" s="40">
        <v>718</v>
      </c>
      <c r="C719" s="40" t="s">
        <v>114</v>
      </c>
      <c r="D719" s="38" t="s">
        <v>218</v>
      </c>
      <c r="E719" s="32" t="s">
        <v>2186</v>
      </c>
      <c r="F719" s="32" t="s">
        <v>21</v>
      </c>
      <c r="G719" s="38" t="s">
        <v>163</v>
      </c>
      <c r="H719" s="32" t="s">
        <v>151</v>
      </c>
      <c r="I719" s="32" t="s">
        <v>243</v>
      </c>
      <c r="J719" s="32" t="s">
        <v>1164</v>
      </c>
      <c r="K719" s="32" t="s">
        <v>129</v>
      </c>
      <c r="L719" s="32" t="s">
        <v>30</v>
      </c>
      <c r="M719" s="32" t="s">
        <v>30</v>
      </c>
      <c r="N719" s="40">
        <v>2014</v>
      </c>
      <c r="O719" s="32">
        <f>VLOOKUP(Data!N600, CPI!$A$2:$B$112, 2, 0)</f>
        <v>195.3</v>
      </c>
      <c r="P719" s="32" t="s">
        <v>56</v>
      </c>
      <c r="Q719" s="32" t="s">
        <v>239</v>
      </c>
      <c r="R719" s="32" t="s">
        <v>2437</v>
      </c>
      <c r="S719" s="32">
        <v>25625</v>
      </c>
      <c r="T719" s="32" t="s">
        <v>300</v>
      </c>
      <c r="U719" s="32">
        <f>S719/AB719</f>
        <v>16.259517766497463</v>
      </c>
      <c r="V719" s="32" t="s">
        <v>316</v>
      </c>
      <c r="X719" s="32">
        <f>U719</f>
        <v>16.259517766497463</v>
      </c>
      <c r="Y719" s="32">
        <f>(CPI!$B$112/O719)*X719</f>
        <v>25.365576188754254</v>
      </c>
      <c r="Z719" s="38" t="s">
        <v>262</v>
      </c>
      <c r="AA719" s="35" t="s">
        <v>1449</v>
      </c>
      <c r="AB719" s="32">
        <v>1576</v>
      </c>
      <c r="AH719" s="32" t="s">
        <v>411</v>
      </c>
      <c r="AI719" s="32" t="s">
        <v>1539</v>
      </c>
      <c r="AJ719" s="35" t="s">
        <v>2278</v>
      </c>
      <c r="AK719" s="40" t="s">
        <v>1165</v>
      </c>
      <c r="AL719" s="32">
        <v>2014</v>
      </c>
      <c r="AM719" s="32" t="s">
        <v>1166</v>
      </c>
      <c r="AN719" s="32" t="s">
        <v>1167</v>
      </c>
      <c r="AO719" s="38" t="s">
        <v>1168</v>
      </c>
      <c r="AP719" s="35" t="s">
        <v>396</v>
      </c>
    </row>
    <row r="720" spans="1:42" x14ac:dyDescent="0.2">
      <c r="A720" s="40">
        <v>70</v>
      </c>
      <c r="B720" s="40">
        <v>719</v>
      </c>
      <c r="C720" s="40" t="s">
        <v>114</v>
      </c>
      <c r="D720" s="38" t="s">
        <v>218</v>
      </c>
      <c r="E720" s="32" t="s">
        <v>2186</v>
      </c>
      <c r="F720" s="32" t="s">
        <v>21</v>
      </c>
      <c r="G720" s="38" t="s">
        <v>163</v>
      </c>
      <c r="H720" s="32" t="s">
        <v>151</v>
      </c>
      <c r="I720" s="32" t="s">
        <v>243</v>
      </c>
      <c r="J720" s="32" t="s">
        <v>1164</v>
      </c>
      <c r="K720" s="32" t="s">
        <v>129</v>
      </c>
      <c r="L720" s="32" t="s">
        <v>30</v>
      </c>
      <c r="M720" s="32" t="s">
        <v>30</v>
      </c>
      <c r="N720" s="40">
        <v>2014</v>
      </c>
      <c r="O720" s="32">
        <f>VLOOKUP(Data!N1444, CPI!$A$2:$B$112, 2, 0)</f>
        <v>207.3</v>
      </c>
      <c r="P720" s="32" t="s">
        <v>56</v>
      </c>
      <c r="Q720" s="32" t="s">
        <v>239</v>
      </c>
      <c r="R720" s="32" t="s">
        <v>2437</v>
      </c>
      <c r="S720" s="32">
        <v>1281.5</v>
      </c>
      <c r="T720" s="32" t="s">
        <v>1163</v>
      </c>
      <c r="Z720" s="38" t="s">
        <v>262</v>
      </c>
      <c r="AA720" s="35" t="s">
        <v>1449</v>
      </c>
      <c r="AB720" s="32">
        <v>1576</v>
      </c>
      <c r="AH720" s="32" t="s">
        <v>411</v>
      </c>
      <c r="AI720" s="32" t="s">
        <v>1539</v>
      </c>
      <c r="AK720" s="40" t="s">
        <v>1165</v>
      </c>
      <c r="AL720" s="32">
        <v>2014</v>
      </c>
      <c r="AM720" s="32" t="s">
        <v>1166</v>
      </c>
      <c r="AN720" s="32" t="s">
        <v>1167</v>
      </c>
      <c r="AO720" s="38" t="s">
        <v>1168</v>
      </c>
      <c r="AP720" s="35" t="s">
        <v>396</v>
      </c>
    </row>
    <row r="721" spans="1:42" x14ac:dyDescent="0.2">
      <c r="A721" s="40">
        <v>71</v>
      </c>
      <c r="B721" s="40">
        <v>720</v>
      </c>
      <c r="C721" s="40" t="s">
        <v>119</v>
      </c>
      <c r="D721" s="38" t="s">
        <v>128</v>
      </c>
      <c r="E721" s="32" t="s">
        <v>2183</v>
      </c>
      <c r="F721" s="32" t="s">
        <v>237</v>
      </c>
      <c r="G721" s="38" t="s">
        <v>117</v>
      </c>
      <c r="H721" s="32" t="s">
        <v>242</v>
      </c>
      <c r="I721" s="32" t="s">
        <v>243</v>
      </c>
      <c r="J721" s="32" t="s">
        <v>1171</v>
      </c>
      <c r="K721" s="32" t="s">
        <v>129</v>
      </c>
      <c r="L721" s="32" t="s">
        <v>30</v>
      </c>
      <c r="M721" s="32" t="s">
        <v>30</v>
      </c>
      <c r="N721" s="40">
        <v>2015</v>
      </c>
      <c r="O721" s="32">
        <f>VLOOKUP(Data!N115, CPI!$A$2:$B$112, 2, 0)</f>
        <v>258.81099999999998</v>
      </c>
      <c r="P721" s="32" t="s">
        <v>238</v>
      </c>
      <c r="Q721" s="32" t="s">
        <v>239</v>
      </c>
      <c r="R721" s="32" t="s">
        <v>1169</v>
      </c>
      <c r="S721" s="32">
        <v>150000</v>
      </c>
      <c r="T721" s="32" t="s">
        <v>2439</v>
      </c>
      <c r="U721" s="32">
        <f>S721*2.47105</f>
        <v>370657.5</v>
      </c>
      <c r="V721" s="32" t="s">
        <v>2211</v>
      </c>
      <c r="W721" s="32">
        <f>VLOOKUP(N721, 'Exchange rate-Kenya'!$A$3:$B$65, 2, 0)</f>
        <v>98.178453326527105</v>
      </c>
      <c r="X721" s="32">
        <f>U721/W721</f>
        <v>3775.3446651603649</v>
      </c>
      <c r="Y721" s="32">
        <f>(CPI!$B$112/O721)*X721</f>
        <v>4444.4005189535937</v>
      </c>
      <c r="Z721" s="38" t="s">
        <v>303</v>
      </c>
      <c r="AA721" s="35" t="s">
        <v>2445</v>
      </c>
      <c r="AB721" s="32" t="s">
        <v>30</v>
      </c>
      <c r="AH721" s="32" t="s">
        <v>411</v>
      </c>
      <c r="AI721" s="32" t="s">
        <v>1539</v>
      </c>
      <c r="AK721" s="40" t="s">
        <v>1173</v>
      </c>
      <c r="AL721" s="32">
        <v>2015</v>
      </c>
      <c r="AM721" s="32" t="s">
        <v>1174</v>
      </c>
      <c r="AN721" s="32" t="s">
        <v>1175</v>
      </c>
      <c r="AO721" s="38" t="s">
        <v>1176</v>
      </c>
      <c r="AP721" s="35" t="s">
        <v>396</v>
      </c>
    </row>
    <row r="722" spans="1:42" x14ac:dyDescent="0.2">
      <c r="A722" s="40">
        <v>71</v>
      </c>
      <c r="B722" s="40">
        <v>721</v>
      </c>
      <c r="C722" s="40" t="s">
        <v>119</v>
      </c>
      <c r="D722" s="38" t="s">
        <v>128</v>
      </c>
      <c r="E722" s="32" t="s">
        <v>2183</v>
      </c>
      <c r="F722" s="32" t="s">
        <v>237</v>
      </c>
      <c r="G722" s="38" t="s">
        <v>117</v>
      </c>
      <c r="H722" s="32" t="s">
        <v>242</v>
      </c>
      <c r="I722" s="32" t="s">
        <v>243</v>
      </c>
      <c r="J722" s="32" t="s">
        <v>1171</v>
      </c>
      <c r="K722" s="32" t="s">
        <v>129</v>
      </c>
      <c r="L722" s="32" t="s">
        <v>30</v>
      </c>
      <c r="M722" s="32" t="s">
        <v>30</v>
      </c>
      <c r="N722" s="40">
        <v>2015</v>
      </c>
      <c r="O722" s="32">
        <f>VLOOKUP(Data!N116, CPI!$A$2:$B$112, 2, 0)</f>
        <v>258.81099999999998</v>
      </c>
      <c r="P722" s="32" t="s">
        <v>238</v>
      </c>
      <c r="Q722" s="32" t="s">
        <v>239</v>
      </c>
      <c r="R722" s="32" t="s">
        <v>1170</v>
      </c>
      <c r="S722" s="32">
        <v>250000</v>
      </c>
      <c r="T722" s="32" t="s">
        <v>2439</v>
      </c>
      <c r="U722" s="32">
        <f>S722*2.47105</f>
        <v>617762.5</v>
      </c>
      <c r="V722" s="32" t="s">
        <v>2211</v>
      </c>
      <c r="W722" s="32">
        <f>VLOOKUP(N722, 'Exchange rate-Kenya'!$A$3:$B$65, 2, 0)</f>
        <v>98.178453326527105</v>
      </c>
      <c r="X722" s="32">
        <f>U722/W722</f>
        <v>6292.2411086006086</v>
      </c>
      <c r="Y722" s="32">
        <f>(CPI!$B$112/O722)*X722</f>
        <v>7407.3341982559896</v>
      </c>
      <c r="Z722" s="38" t="s">
        <v>303</v>
      </c>
      <c r="AA722" s="35" t="s">
        <v>2445</v>
      </c>
      <c r="AB722" s="32" t="s">
        <v>30</v>
      </c>
      <c r="AH722" s="32" t="s">
        <v>411</v>
      </c>
      <c r="AI722" s="32" t="s">
        <v>1539</v>
      </c>
      <c r="AK722" s="40" t="s">
        <v>1173</v>
      </c>
      <c r="AL722" s="32">
        <v>2015</v>
      </c>
      <c r="AM722" s="32" t="s">
        <v>1174</v>
      </c>
      <c r="AN722" s="32" t="s">
        <v>1175</v>
      </c>
      <c r="AO722" s="38" t="s">
        <v>1176</v>
      </c>
      <c r="AP722" s="35" t="s">
        <v>396</v>
      </c>
    </row>
    <row r="723" spans="1:42" x14ac:dyDescent="0.2">
      <c r="A723" s="40">
        <v>71</v>
      </c>
      <c r="B723" s="40">
        <v>722</v>
      </c>
      <c r="C723" s="40" t="s">
        <v>119</v>
      </c>
      <c r="D723" s="38" t="s">
        <v>128</v>
      </c>
      <c r="E723" s="32" t="s">
        <v>2183</v>
      </c>
      <c r="F723" s="32" t="s">
        <v>126</v>
      </c>
      <c r="G723" s="38" t="s">
        <v>153</v>
      </c>
      <c r="H723" s="32" t="s">
        <v>242</v>
      </c>
      <c r="I723" s="32" t="s">
        <v>243</v>
      </c>
      <c r="J723" s="32" t="s">
        <v>1171</v>
      </c>
      <c r="K723" s="32" t="s">
        <v>129</v>
      </c>
      <c r="L723" s="32" t="s">
        <v>30</v>
      </c>
      <c r="M723" s="32" t="s">
        <v>30</v>
      </c>
      <c r="N723" s="40">
        <v>2015</v>
      </c>
      <c r="O723" s="32">
        <f>VLOOKUP(Data!N1445, CPI!$A$2:$B$112, 2, 0)</f>
        <v>245.12</v>
      </c>
      <c r="P723" s="32" t="s">
        <v>238</v>
      </c>
      <c r="Q723" s="32" t="s">
        <v>239</v>
      </c>
      <c r="R723" s="32" t="s">
        <v>1172</v>
      </c>
      <c r="S723" s="32">
        <v>200</v>
      </c>
      <c r="T723" s="32" t="s">
        <v>2440</v>
      </c>
      <c r="Z723" s="38" t="s">
        <v>303</v>
      </c>
      <c r="AA723" s="35" t="s">
        <v>2444</v>
      </c>
      <c r="AB723" s="32" t="s">
        <v>30</v>
      </c>
      <c r="AH723" s="32" t="s">
        <v>411</v>
      </c>
      <c r="AI723" s="59" t="s">
        <v>2446</v>
      </c>
      <c r="AK723" s="40" t="s">
        <v>1173</v>
      </c>
      <c r="AL723" s="32">
        <v>2015</v>
      </c>
      <c r="AM723" s="32" t="s">
        <v>1174</v>
      </c>
      <c r="AN723" s="32" t="s">
        <v>1175</v>
      </c>
      <c r="AO723" s="38" t="s">
        <v>1176</v>
      </c>
      <c r="AP723" s="35" t="s">
        <v>396</v>
      </c>
    </row>
    <row r="724" spans="1:42" x14ac:dyDescent="0.2">
      <c r="A724" s="40">
        <v>72</v>
      </c>
      <c r="B724" s="40">
        <v>723</v>
      </c>
      <c r="C724" s="40" t="s">
        <v>249</v>
      </c>
      <c r="D724" s="38" t="s">
        <v>150</v>
      </c>
      <c r="E724" s="32" t="s">
        <v>2183</v>
      </c>
      <c r="F724" s="32" t="s">
        <v>237</v>
      </c>
      <c r="G724" s="38" t="s">
        <v>117</v>
      </c>
      <c r="H724" s="32" t="s">
        <v>151</v>
      </c>
      <c r="I724" s="32" t="s">
        <v>61</v>
      </c>
      <c r="J724" s="32" t="s">
        <v>1177</v>
      </c>
      <c r="K724" s="32" t="s">
        <v>129</v>
      </c>
      <c r="L724" s="32" t="s">
        <v>30</v>
      </c>
      <c r="M724" s="32" t="s">
        <v>30</v>
      </c>
      <c r="N724" s="40">
        <v>2009</v>
      </c>
      <c r="O724" s="32">
        <f>VLOOKUP(Data!N117, CPI!$A$2:$B$112, 2, 0)</f>
        <v>258.81099999999998</v>
      </c>
      <c r="P724" s="32" t="s">
        <v>238</v>
      </c>
      <c r="Q724" s="32" t="s">
        <v>239</v>
      </c>
      <c r="R724" s="32" t="s">
        <v>1178</v>
      </c>
      <c r="S724" s="32">
        <v>2082</v>
      </c>
      <c r="T724" s="32" t="s">
        <v>307</v>
      </c>
      <c r="U724" s="32">
        <f>(S724*AE724)/AB724</f>
        <v>37.743626985112726</v>
      </c>
      <c r="V724" s="32" t="s">
        <v>2211</v>
      </c>
      <c r="W724" s="32">
        <f>VLOOKUP(N724, 'Exchange rate-Kenya'!$A$3:$B$65, 2, 0)</f>
        <v>77.352012297578995</v>
      </c>
      <c r="X724" s="32">
        <f>U724/W724</f>
        <v>0.48794628431785536</v>
      </c>
      <c r="Y724" s="32">
        <f>(CPI!$B$112/O724)*X724</f>
        <v>0.57441873830919155</v>
      </c>
      <c r="Z724" s="38" t="s">
        <v>303</v>
      </c>
      <c r="AA724" s="35" t="s">
        <v>2438</v>
      </c>
      <c r="AB724" s="32">
        <f>6868011+7096119+2102227+2533607+2599147</f>
        <v>21199111</v>
      </c>
      <c r="AE724" s="32">
        <f>123191+56941+47354+31326+125497</f>
        <v>384309</v>
      </c>
      <c r="AF724" s="43" t="s">
        <v>2441</v>
      </c>
      <c r="AG724" s="43"/>
      <c r="AH724" s="32" t="s">
        <v>411</v>
      </c>
      <c r="AI724" s="59" t="s">
        <v>2442</v>
      </c>
      <c r="AJ724" s="35" t="s">
        <v>2443</v>
      </c>
      <c r="AK724" s="40" t="s">
        <v>1179</v>
      </c>
      <c r="AL724" s="32">
        <v>2013</v>
      </c>
      <c r="AM724" s="32" t="s">
        <v>1180</v>
      </c>
      <c r="AN724" s="32" t="s">
        <v>1181</v>
      </c>
      <c r="AO724" s="38" t="s">
        <v>1182</v>
      </c>
      <c r="AP724" s="35" t="s">
        <v>396</v>
      </c>
    </row>
    <row r="725" spans="1:42" x14ac:dyDescent="0.2">
      <c r="A725" s="40">
        <v>73</v>
      </c>
      <c r="B725" s="40">
        <v>724</v>
      </c>
      <c r="C725" s="40" t="s">
        <v>114</v>
      </c>
      <c r="D725" s="38" t="s">
        <v>218</v>
      </c>
      <c r="E725" s="32" t="s">
        <v>2186</v>
      </c>
      <c r="F725" s="32" t="s">
        <v>21</v>
      </c>
      <c r="G725" s="38" t="s">
        <v>163</v>
      </c>
      <c r="H725" s="32" t="s">
        <v>115</v>
      </c>
      <c r="I725" s="32" t="s">
        <v>61</v>
      </c>
      <c r="J725" s="32" t="s">
        <v>589</v>
      </c>
      <c r="K725" s="32" t="s">
        <v>129</v>
      </c>
      <c r="L725" s="32" t="s">
        <v>30</v>
      </c>
      <c r="M725" s="32" t="s">
        <v>30</v>
      </c>
      <c r="N725" s="40">
        <v>2015</v>
      </c>
      <c r="O725" s="32">
        <f>VLOOKUP(Data!N601, CPI!$A$2:$B$112, 2, 0)</f>
        <v>195.3</v>
      </c>
      <c r="P725" s="32" t="s">
        <v>21</v>
      </c>
      <c r="Q725" s="32" t="s">
        <v>250</v>
      </c>
      <c r="R725" s="32" t="s">
        <v>2447</v>
      </c>
      <c r="S725" s="32">
        <v>5900000</v>
      </c>
      <c r="T725" s="32" t="s">
        <v>2448</v>
      </c>
      <c r="U725" s="32">
        <v>5900000</v>
      </c>
      <c r="V725" s="32" t="s">
        <v>316</v>
      </c>
      <c r="X725" s="32">
        <f>U725</f>
        <v>5900000</v>
      </c>
      <c r="Y725" s="32">
        <f>(CPI!$B$112/O725)*X725</f>
        <v>9204264.3369175624</v>
      </c>
      <c r="Z725" s="38" t="s">
        <v>262</v>
      </c>
      <c r="AA725" s="35" t="s">
        <v>1412</v>
      </c>
      <c r="AB725" s="32">
        <v>1700000</v>
      </c>
      <c r="AK725" s="40" t="s">
        <v>1193</v>
      </c>
      <c r="AL725" s="32">
        <v>2017</v>
      </c>
      <c r="AM725" s="32" t="s">
        <v>1194</v>
      </c>
      <c r="AN725" s="32" t="s">
        <v>1195</v>
      </c>
      <c r="AO725" s="38" t="s">
        <v>1196</v>
      </c>
      <c r="AP725" s="35" t="s">
        <v>396</v>
      </c>
    </row>
    <row r="726" spans="1:42" x14ac:dyDescent="0.2">
      <c r="A726" s="40">
        <v>73</v>
      </c>
      <c r="B726" s="40">
        <v>725</v>
      </c>
      <c r="C726" s="40" t="s">
        <v>114</v>
      </c>
      <c r="D726" s="38" t="s">
        <v>218</v>
      </c>
      <c r="E726" s="32" t="s">
        <v>2186</v>
      </c>
      <c r="F726" s="32" t="s">
        <v>21</v>
      </c>
      <c r="G726" s="38" t="s">
        <v>163</v>
      </c>
      <c r="H726" s="32" t="s">
        <v>115</v>
      </c>
      <c r="I726" s="32" t="s">
        <v>61</v>
      </c>
      <c r="J726" s="32" t="s">
        <v>589</v>
      </c>
      <c r="K726" s="32" t="s">
        <v>129</v>
      </c>
      <c r="L726" s="32" t="s">
        <v>30</v>
      </c>
      <c r="M726" s="32" t="s">
        <v>30</v>
      </c>
      <c r="N726" s="40">
        <v>2015</v>
      </c>
      <c r="O726" s="32">
        <f>VLOOKUP(Data!N1446, CPI!$A$2:$B$112, 2, 0)</f>
        <v>245.12</v>
      </c>
      <c r="P726" s="32" t="s">
        <v>21</v>
      </c>
      <c r="Q726" s="32" t="s">
        <v>164</v>
      </c>
      <c r="R726" s="32" t="s">
        <v>1183</v>
      </c>
      <c r="S726" s="32">
        <v>394000</v>
      </c>
      <c r="T726" s="32" t="s">
        <v>608</v>
      </c>
      <c r="Z726" s="38" t="s">
        <v>262</v>
      </c>
      <c r="AA726" s="35" t="s">
        <v>1412</v>
      </c>
      <c r="AB726" s="32">
        <v>1700000</v>
      </c>
      <c r="AK726" s="40" t="s">
        <v>1193</v>
      </c>
      <c r="AL726" s="32">
        <v>2017</v>
      </c>
      <c r="AM726" s="32" t="s">
        <v>1194</v>
      </c>
      <c r="AN726" s="32" t="s">
        <v>1195</v>
      </c>
      <c r="AO726" s="38" t="s">
        <v>1196</v>
      </c>
      <c r="AP726" s="35" t="s">
        <v>396</v>
      </c>
    </row>
    <row r="727" spans="1:42" x14ac:dyDescent="0.2">
      <c r="A727" s="40">
        <v>73</v>
      </c>
      <c r="B727" s="40">
        <v>726</v>
      </c>
      <c r="C727" s="40" t="s">
        <v>114</v>
      </c>
      <c r="D727" s="38" t="s">
        <v>218</v>
      </c>
      <c r="E727" s="32" t="s">
        <v>2186</v>
      </c>
      <c r="F727" s="32" t="s">
        <v>108</v>
      </c>
      <c r="G727" s="38" t="s">
        <v>109</v>
      </c>
      <c r="H727" s="32" t="s">
        <v>115</v>
      </c>
      <c r="I727" s="32" t="s">
        <v>61</v>
      </c>
      <c r="J727" s="32" t="s">
        <v>589</v>
      </c>
      <c r="K727" s="32" t="s">
        <v>129</v>
      </c>
      <c r="L727" s="32" t="s">
        <v>30</v>
      </c>
      <c r="M727" s="32" t="s">
        <v>30</v>
      </c>
      <c r="N727" s="40">
        <v>2015</v>
      </c>
      <c r="O727" s="32">
        <f>VLOOKUP(Data!N1447, CPI!$A$2:$B$112, 2, 0)</f>
        <v>245.12</v>
      </c>
      <c r="P727" s="32" t="s">
        <v>21</v>
      </c>
      <c r="Q727" s="32" t="s">
        <v>164</v>
      </c>
      <c r="R727" s="32" t="s">
        <v>1184</v>
      </c>
      <c r="S727" s="32">
        <v>36700</v>
      </c>
      <c r="T727" s="32" t="s">
        <v>608</v>
      </c>
      <c r="Z727" s="38" t="s">
        <v>262</v>
      </c>
      <c r="AA727" s="35" t="s">
        <v>1412</v>
      </c>
      <c r="AB727" s="32">
        <v>1700000</v>
      </c>
      <c r="AK727" s="40" t="s">
        <v>1193</v>
      </c>
      <c r="AL727" s="32">
        <v>2017</v>
      </c>
      <c r="AM727" s="32" t="s">
        <v>1194</v>
      </c>
      <c r="AN727" s="32" t="s">
        <v>1195</v>
      </c>
      <c r="AO727" s="38" t="s">
        <v>1196</v>
      </c>
      <c r="AP727" s="35" t="s">
        <v>396</v>
      </c>
    </row>
    <row r="728" spans="1:42" x14ac:dyDescent="0.2">
      <c r="A728" s="40">
        <v>73</v>
      </c>
      <c r="B728" s="40">
        <v>727</v>
      </c>
      <c r="C728" s="40" t="s">
        <v>114</v>
      </c>
      <c r="D728" s="38" t="s">
        <v>218</v>
      </c>
      <c r="E728" s="32" t="s">
        <v>2183</v>
      </c>
      <c r="F728" s="32" t="s">
        <v>244</v>
      </c>
      <c r="G728" s="38" t="s">
        <v>1102</v>
      </c>
      <c r="H728" s="32" t="s">
        <v>115</v>
      </c>
      <c r="I728" s="32" t="s">
        <v>61</v>
      </c>
      <c r="J728" s="32" t="s">
        <v>589</v>
      </c>
      <c r="K728" s="32" t="s">
        <v>129</v>
      </c>
      <c r="L728" s="32" t="s">
        <v>30</v>
      </c>
      <c r="M728" s="32" t="s">
        <v>30</v>
      </c>
      <c r="N728" s="40">
        <v>2015</v>
      </c>
      <c r="O728" s="32">
        <f>VLOOKUP(Data!N1448, CPI!$A$2:$B$112, 2, 0)</f>
        <v>245.12</v>
      </c>
      <c r="P728" s="32" t="s">
        <v>21</v>
      </c>
      <c r="Q728" s="32" t="s">
        <v>164</v>
      </c>
      <c r="R728" s="32" t="s">
        <v>1185</v>
      </c>
      <c r="S728" s="32">
        <v>2090000</v>
      </c>
      <c r="T728" s="32" t="s">
        <v>608</v>
      </c>
      <c r="Z728" s="38" t="s">
        <v>262</v>
      </c>
      <c r="AA728" s="35" t="s">
        <v>1412</v>
      </c>
      <c r="AB728" s="32">
        <v>1700000</v>
      </c>
      <c r="AK728" s="40" t="s">
        <v>1193</v>
      </c>
      <c r="AL728" s="32">
        <v>2017</v>
      </c>
      <c r="AM728" s="32" t="s">
        <v>1194</v>
      </c>
      <c r="AN728" s="32" t="s">
        <v>1195</v>
      </c>
      <c r="AO728" s="38" t="s">
        <v>1196</v>
      </c>
      <c r="AP728" s="35" t="s">
        <v>396</v>
      </c>
    </row>
    <row r="729" spans="1:42" x14ac:dyDescent="0.2">
      <c r="A729" s="40">
        <v>73</v>
      </c>
      <c r="B729" s="40">
        <v>728</v>
      </c>
      <c r="C729" s="40" t="s">
        <v>114</v>
      </c>
      <c r="D729" s="38" t="s">
        <v>218</v>
      </c>
      <c r="E729" s="32" t="s">
        <v>2183</v>
      </c>
      <c r="F729" s="32" t="s">
        <v>244</v>
      </c>
      <c r="G729" s="38" t="s">
        <v>2908</v>
      </c>
      <c r="H729" s="32" t="s">
        <v>115</v>
      </c>
      <c r="I729" s="32" t="s">
        <v>61</v>
      </c>
      <c r="J729" s="32" t="s">
        <v>589</v>
      </c>
      <c r="K729" s="32" t="s">
        <v>129</v>
      </c>
      <c r="L729" s="32" t="s">
        <v>30</v>
      </c>
      <c r="M729" s="32" t="s">
        <v>30</v>
      </c>
      <c r="N729" s="40">
        <v>2015</v>
      </c>
      <c r="O729" s="32">
        <f>VLOOKUP(Data!N1449, CPI!$A$2:$B$112, 2, 0)</f>
        <v>245.12</v>
      </c>
      <c r="P729" s="32" t="s">
        <v>21</v>
      </c>
      <c r="Q729" s="32" t="s">
        <v>164</v>
      </c>
      <c r="R729" s="32" t="s">
        <v>1186</v>
      </c>
      <c r="S729" s="32">
        <v>870000</v>
      </c>
      <c r="T729" s="32" t="s">
        <v>608</v>
      </c>
      <c r="Z729" s="38" t="s">
        <v>262</v>
      </c>
      <c r="AA729" s="35" t="s">
        <v>1412</v>
      </c>
      <c r="AB729" s="32">
        <v>1700000</v>
      </c>
      <c r="AK729" s="40" t="s">
        <v>1193</v>
      </c>
      <c r="AL729" s="32">
        <v>2017</v>
      </c>
      <c r="AM729" s="32" t="s">
        <v>1194</v>
      </c>
      <c r="AN729" s="32" t="s">
        <v>1195</v>
      </c>
      <c r="AO729" s="38" t="s">
        <v>1196</v>
      </c>
      <c r="AP729" s="35" t="s">
        <v>396</v>
      </c>
    </row>
    <row r="730" spans="1:42" x14ac:dyDescent="0.2">
      <c r="A730" s="40">
        <v>73</v>
      </c>
      <c r="B730" s="40">
        <v>729</v>
      </c>
      <c r="C730" s="40" t="s">
        <v>114</v>
      </c>
      <c r="D730" s="38" t="s">
        <v>218</v>
      </c>
      <c r="E730" s="32" t="s">
        <v>2183</v>
      </c>
      <c r="F730" s="32" t="s">
        <v>244</v>
      </c>
      <c r="G730" s="38" t="s">
        <v>2908</v>
      </c>
      <c r="H730" s="32" t="s">
        <v>115</v>
      </c>
      <c r="I730" s="32" t="s">
        <v>61</v>
      </c>
      <c r="J730" s="32" t="s">
        <v>589</v>
      </c>
      <c r="K730" s="32" t="s">
        <v>129</v>
      </c>
      <c r="L730" s="32" t="s">
        <v>30</v>
      </c>
      <c r="M730" s="32" t="s">
        <v>30</v>
      </c>
      <c r="N730" s="40">
        <v>2015</v>
      </c>
      <c r="O730" s="32">
        <f>VLOOKUP(Data!N1450, CPI!$A$2:$B$112, 2, 0)</f>
        <v>251.107</v>
      </c>
      <c r="P730" s="32" t="s">
        <v>21</v>
      </c>
      <c r="Q730" s="32" t="s">
        <v>164</v>
      </c>
      <c r="R730" s="32" t="s">
        <v>1187</v>
      </c>
      <c r="S730" s="32">
        <v>3390000</v>
      </c>
      <c r="T730" s="32" t="s">
        <v>608</v>
      </c>
      <c r="Z730" s="38" t="s">
        <v>262</v>
      </c>
      <c r="AA730" s="35" t="s">
        <v>1412</v>
      </c>
      <c r="AB730" s="32">
        <v>1700000</v>
      </c>
      <c r="AK730" s="40" t="s">
        <v>1193</v>
      </c>
      <c r="AL730" s="32">
        <v>2017</v>
      </c>
      <c r="AM730" s="32" t="s">
        <v>1194</v>
      </c>
      <c r="AN730" s="32" t="s">
        <v>1195</v>
      </c>
      <c r="AO730" s="38" t="s">
        <v>1196</v>
      </c>
      <c r="AP730" s="35" t="s">
        <v>396</v>
      </c>
    </row>
    <row r="731" spans="1:42" x14ac:dyDescent="0.2">
      <c r="A731" s="40">
        <v>73</v>
      </c>
      <c r="B731" s="40">
        <v>730</v>
      </c>
      <c r="C731" s="40" t="s">
        <v>114</v>
      </c>
      <c r="D731" s="38" t="s">
        <v>218</v>
      </c>
      <c r="E731" s="32" t="s">
        <v>2184</v>
      </c>
      <c r="F731" s="32" t="s">
        <v>145</v>
      </c>
      <c r="G731" s="38" t="s">
        <v>146</v>
      </c>
      <c r="H731" s="32" t="s">
        <v>115</v>
      </c>
      <c r="I731" s="32" t="s">
        <v>61</v>
      </c>
      <c r="J731" s="32" t="s">
        <v>589</v>
      </c>
      <c r="K731" s="32" t="s">
        <v>129</v>
      </c>
      <c r="L731" s="32" t="s">
        <v>30</v>
      </c>
      <c r="M731" s="32" t="s">
        <v>30</v>
      </c>
      <c r="N731" s="40">
        <v>2015</v>
      </c>
      <c r="O731" s="32">
        <f>VLOOKUP(Data!N1451, CPI!$A$2:$B$112, 2, 0)</f>
        <v>245.12</v>
      </c>
      <c r="P731" s="32" t="s">
        <v>21</v>
      </c>
      <c r="Q731" s="32" t="s">
        <v>164</v>
      </c>
      <c r="R731" s="32" t="s">
        <v>1188</v>
      </c>
      <c r="S731" s="32">
        <v>12000000</v>
      </c>
      <c r="T731" s="32" t="s">
        <v>608</v>
      </c>
      <c r="Z731" s="38" t="s">
        <v>262</v>
      </c>
      <c r="AA731" s="35" t="s">
        <v>1412</v>
      </c>
      <c r="AB731" s="32">
        <v>1700000</v>
      </c>
      <c r="AK731" s="40" t="s">
        <v>1193</v>
      </c>
      <c r="AL731" s="32">
        <v>2017</v>
      </c>
      <c r="AM731" s="32" t="s">
        <v>1194</v>
      </c>
      <c r="AN731" s="32" t="s">
        <v>1195</v>
      </c>
      <c r="AO731" s="38" t="s">
        <v>1196</v>
      </c>
      <c r="AP731" s="35" t="s">
        <v>396</v>
      </c>
    </row>
    <row r="732" spans="1:42" x14ac:dyDescent="0.2">
      <c r="A732" s="40">
        <v>73</v>
      </c>
      <c r="B732" s="40">
        <v>731</v>
      </c>
      <c r="C732" s="40" t="s">
        <v>114</v>
      </c>
      <c r="D732" s="38" t="s">
        <v>218</v>
      </c>
      <c r="E732" s="32" t="s">
        <v>2186</v>
      </c>
      <c r="F732" s="32" t="s">
        <v>108</v>
      </c>
      <c r="G732" s="38" t="s">
        <v>109</v>
      </c>
      <c r="H732" s="32" t="s">
        <v>115</v>
      </c>
      <c r="I732" s="32" t="s">
        <v>61</v>
      </c>
      <c r="J732" s="32" t="s">
        <v>589</v>
      </c>
      <c r="K732" s="32" t="s">
        <v>129</v>
      </c>
      <c r="L732" s="32" t="s">
        <v>30</v>
      </c>
      <c r="M732" s="32" t="s">
        <v>30</v>
      </c>
      <c r="N732" s="40">
        <v>2015</v>
      </c>
      <c r="O732" s="32">
        <f>VLOOKUP(Data!N1452, CPI!$A$2:$B$112, 2, 0)</f>
        <v>245.12</v>
      </c>
      <c r="P732" s="32" t="s">
        <v>21</v>
      </c>
      <c r="Q732" s="32" t="s">
        <v>164</v>
      </c>
      <c r="R732" s="32" t="s">
        <v>1189</v>
      </c>
      <c r="S732" s="32">
        <v>2810000</v>
      </c>
      <c r="T732" s="32" t="s">
        <v>608</v>
      </c>
      <c r="Z732" s="38" t="s">
        <v>262</v>
      </c>
      <c r="AA732" s="35" t="s">
        <v>1412</v>
      </c>
      <c r="AB732" s="32">
        <v>1700000</v>
      </c>
      <c r="AK732" s="40" t="s">
        <v>1193</v>
      </c>
      <c r="AL732" s="32">
        <v>2017</v>
      </c>
      <c r="AM732" s="32" t="s">
        <v>1194</v>
      </c>
      <c r="AN732" s="32" t="s">
        <v>1195</v>
      </c>
      <c r="AO732" s="38" t="s">
        <v>1196</v>
      </c>
      <c r="AP732" s="35" t="s">
        <v>396</v>
      </c>
    </row>
    <row r="733" spans="1:42" x14ac:dyDescent="0.2">
      <c r="A733" s="40">
        <v>73</v>
      </c>
      <c r="B733" s="40">
        <v>732</v>
      </c>
      <c r="C733" s="40" t="s">
        <v>114</v>
      </c>
      <c r="D733" s="38" t="s">
        <v>218</v>
      </c>
      <c r="E733" s="32" t="s">
        <v>2186</v>
      </c>
      <c r="F733" s="32" t="s">
        <v>108</v>
      </c>
      <c r="G733" s="38" t="s">
        <v>109</v>
      </c>
      <c r="H733" s="32" t="s">
        <v>115</v>
      </c>
      <c r="I733" s="32" t="s">
        <v>61</v>
      </c>
      <c r="J733" s="32" t="s">
        <v>589</v>
      </c>
      <c r="K733" s="32" t="s">
        <v>129</v>
      </c>
      <c r="L733" s="32" t="s">
        <v>30</v>
      </c>
      <c r="M733" s="32" t="s">
        <v>30</v>
      </c>
      <c r="N733" s="40">
        <v>2015</v>
      </c>
      <c r="O733" s="32">
        <f>VLOOKUP(Data!N1453, CPI!$A$2:$B$112, 2, 0)</f>
        <v>232.95699999999999</v>
      </c>
      <c r="P733" s="32" t="s">
        <v>21</v>
      </c>
      <c r="Q733" s="32" t="s">
        <v>164</v>
      </c>
      <c r="R733" s="32" t="s">
        <v>1190</v>
      </c>
      <c r="S733" s="32">
        <v>5870000</v>
      </c>
      <c r="T733" s="32" t="s">
        <v>608</v>
      </c>
      <c r="Z733" s="38" t="s">
        <v>262</v>
      </c>
      <c r="AA733" s="35" t="s">
        <v>1412</v>
      </c>
      <c r="AB733" s="32">
        <v>1700000</v>
      </c>
      <c r="AK733" s="40" t="s">
        <v>1193</v>
      </c>
      <c r="AL733" s="32">
        <v>2017</v>
      </c>
      <c r="AM733" s="32" t="s">
        <v>1194</v>
      </c>
      <c r="AN733" s="32" t="s">
        <v>1195</v>
      </c>
      <c r="AO733" s="38" t="s">
        <v>1196</v>
      </c>
      <c r="AP733" s="35" t="s">
        <v>396</v>
      </c>
    </row>
    <row r="734" spans="1:42" x14ac:dyDescent="0.2">
      <c r="A734" s="40">
        <v>73</v>
      </c>
      <c r="B734" s="40">
        <v>733</v>
      </c>
      <c r="C734" s="40" t="s">
        <v>114</v>
      </c>
      <c r="D734" s="38" t="s">
        <v>218</v>
      </c>
      <c r="E734" s="32" t="s">
        <v>2186</v>
      </c>
      <c r="F734" s="32" t="s">
        <v>108</v>
      </c>
      <c r="G734" s="38" t="s">
        <v>109</v>
      </c>
      <c r="H734" s="32" t="s">
        <v>115</v>
      </c>
      <c r="I734" s="32" t="s">
        <v>61</v>
      </c>
      <c r="J734" s="32" t="s">
        <v>589</v>
      </c>
      <c r="K734" s="32" t="s">
        <v>129</v>
      </c>
      <c r="L734" s="32" t="s">
        <v>30</v>
      </c>
      <c r="M734" s="32" t="s">
        <v>30</v>
      </c>
      <c r="N734" s="40">
        <v>2015</v>
      </c>
      <c r="O734" s="32">
        <f>VLOOKUP(Data!N1454, CPI!$A$2:$B$112, 2, 0)</f>
        <v>236.73599999999999</v>
      </c>
      <c r="P734" s="32" t="s">
        <v>21</v>
      </c>
      <c r="Q734" s="32" t="s">
        <v>164</v>
      </c>
      <c r="R734" s="32" t="s">
        <v>1191</v>
      </c>
      <c r="S734" s="32">
        <v>6150000</v>
      </c>
      <c r="T734" s="32" t="s">
        <v>608</v>
      </c>
      <c r="Z734" s="38" t="s">
        <v>262</v>
      </c>
      <c r="AA734" s="35" t="s">
        <v>1412</v>
      </c>
      <c r="AB734" s="32">
        <v>1700000</v>
      </c>
      <c r="AK734" s="40" t="s">
        <v>1193</v>
      </c>
      <c r="AL734" s="32">
        <v>2017</v>
      </c>
      <c r="AM734" s="32" t="s">
        <v>1194</v>
      </c>
      <c r="AN734" s="32" t="s">
        <v>1195</v>
      </c>
      <c r="AO734" s="38" t="s">
        <v>1196</v>
      </c>
      <c r="AP734" s="35" t="s">
        <v>396</v>
      </c>
    </row>
    <row r="735" spans="1:42" x14ac:dyDescent="0.2">
      <c r="A735" s="40">
        <v>73</v>
      </c>
      <c r="B735" s="40">
        <v>734</v>
      </c>
      <c r="C735" s="40" t="s">
        <v>114</v>
      </c>
      <c r="D735" s="38" t="s">
        <v>218</v>
      </c>
      <c r="E735" s="32" t="s">
        <v>2186</v>
      </c>
      <c r="F735" s="32" t="s">
        <v>21</v>
      </c>
      <c r="G735" s="38" t="s">
        <v>163</v>
      </c>
      <c r="H735" s="32" t="s">
        <v>115</v>
      </c>
      <c r="I735" s="32" t="s">
        <v>61</v>
      </c>
      <c r="J735" s="32" t="s">
        <v>589</v>
      </c>
      <c r="K735" s="32" t="s">
        <v>129</v>
      </c>
      <c r="L735" s="32" t="s">
        <v>30</v>
      </c>
      <c r="M735" s="32" t="s">
        <v>30</v>
      </c>
      <c r="N735" s="40">
        <v>2015</v>
      </c>
      <c r="O735" s="32">
        <f>VLOOKUP(Data!N1455, CPI!$A$2:$B$112, 2, 0)</f>
        <v>237.017</v>
      </c>
      <c r="P735" s="32" t="s">
        <v>21</v>
      </c>
      <c r="Q735" s="32" t="s">
        <v>164</v>
      </c>
      <c r="R735" s="32" t="s">
        <v>1192</v>
      </c>
      <c r="S735" s="32">
        <v>21500000</v>
      </c>
      <c r="T735" s="32" t="s">
        <v>608</v>
      </c>
      <c r="Z735" s="38" t="s">
        <v>262</v>
      </c>
      <c r="AA735" s="35" t="s">
        <v>1412</v>
      </c>
      <c r="AB735" s="32">
        <v>1700000</v>
      </c>
      <c r="AK735" s="40" t="s">
        <v>1193</v>
      </c>
      <c r="AL735" s="32">
        <v>2017</v>
      </c>
      <c r="AM735" s="32" t="s">
        <v>1194</v>
      </c>
      <c r="AN735" s="32" t="s">
        <v>1195</v>
      </c>
      <c r="AO735" s="38" t="s">
        <v>1196</v>
      </c>
      <c r="AP735" s="35" t="s">
        <v>396</v>
      </c>
    </row>
    <row r="736" spans="1:42" x14ac:dyDescent="0.2">
      <c r="A736" s="40">
        <v>74</v>
      </c>
      <c r="B736" s="40">
        <v>735</v>
      </c>
      <c r="C736" s="40" t="s">
        <v>39</v>
      </c>
      <c r="D736" s="54" t="s">
        <v>38</v>
      </c>
      <c r="E736" s="32" t="s">
        <v>2183</v>
      </c>
      <c r="F736" s="32" t="s">
        <v>237</v>
      </c>
      <c r="G736" s="36" t="s">
        <v>2907</v>
      </c>
      <c r="H736" s="32" t="s">
        <v>151</v>
      </c>
      <c r="I736" s="32" t="s">
        <v>231</v>
      </c>
      <c r="J736" s="32" t="s">
        <v>1199</v>
      </c>
      <c r="K736" s="32" t="s">
        <v>129</v>
      </c>
      <c r="L736" s="32" t="s">
        <v>30</v>
      </c>
      <c r="M736" s="32" t="s">
        <v>30</v>
      </c>
      <c r="N736" s="40">
        <v>2019</v>
      </c>
      <c r="O736" s="32">
        <f>VLOOKUP(Data!N118, CPI!$A$2:$B$112, 2, 0)</f>
        <v>258.81099999999998</v>
      </c>
      <c r="P736" s="32" t="s">
        <v>238</v>
      </c>
      <c r="Q736" s="32" t="s">
        <v>239</v>
      </c>
      <c r="R736" s="32" t="s">
        <v>2452</v>
      </c>
      <c r="S736" s="32">
        <v>90</v>
      </c>
      <c r="T736" s="32" t="s">
        <v>421</v>
      </c>
      <c r="U736" s="32">
        <f>(6.44*1000)*S736</f>
        <v>579600</v>
      </c>
      <c r="V736" s="32" t="s">
        <v>2211</v>
      </c>
      <c r="W736" s="32">
        <f>VLOOKUP(N736, 'Exchange rate-Kenya'!$A$3:$B$65, 2, 0)</f>
        <v>101.99129838935001</v>
      </c>
      <c r="X736" s="32">
        <f t="shared" ref="X736:X741" si="42">U736/W736</f>
        <v>5682.837743543445</v>
      </c>
      <c r="Y736" s="32">
        <f>(CPI!$B$112/O736)*X736</f>
        <v>6689.934100483174</v>
      </c>
      <c r="Z736" s="38" t="s">
        <v>303</v>
      </c>
      <c r="AA736" s="35" t="s">
        <v>1464</v>
      </c>
      <c r="AB736" s="32">
        <v>0.33</v>
      </c>
      <c r="AC736" s="32" t="s">
        <v>2286</v>
      </c>
      <c r="AH736" s="32" t="s">
        <v>411</v>
      </c>
      <c r="AJ736" s="36" t="s">
        <v>2456</v>
      </c>
      <c r="AK736" s="40" t="s">
        <v>1200</v>
      </c>
      <c r="AL736" s="32">
        <v>2021</v>
      </c>
      <c r="AM736" s="32" t="s">
        <v>1201</v>
      </c>
      <c r="AN736" s="32" t="s">
        <v>1202</v>
      </c>
      <c r="AO736" s="38" t="s">
        <v>1203</v>
      </c>
      <c r="AP736" s="35" t="s">
        <v>396</v>
      </c>
    </row>
    <row r="737" spans="1:42" x14ac:dyDescent="0.2">
      <c r="A737" s="40">
        <v>74</v>
      </c>
      <c r="B737" s="40">
        <v>736</v>
      </c>
      <c r="C737" s="40" t="s">
        <v>39</v>
      </c>
      <c r="D737" s="54" t="s">
        <v>38</v>
      </c>
      <c r="E737" s="32" t="s">
        <v>2183</v>
      </c>
      <c r="F737" s="32" t="s">
        <v>237</v>
      </c>
      <c r="G737" s="36" t="s">
        <v>2907</v>
      </c>
      <c r="H737" s="32" t="s">
        <v>151</v>
      </c>
      <c r="I737" s="32" t="s">
        <v>231</v>
      </c>
      <c r="J737" s="32" t="s">
        <v>1199</v>
      </c>
      <c r="K737" s="32" t="s">
        <v>129</v>
      </c>
      <c r="L737" s="32" t="s">
        <v>30</v>
      </c>
      <c r="M737" s="32" t="s">
        <v>30</v>
      </c>
      <c r="N737" s="40">
        <v>2019</v>
      </c>
      <c r="O737" s="32">
        <f>VLOOKUP(Data!N119, CPI!$A$2:$B$112, 2, 0)</f>
        <v>258.81099999999998</v>
      </c>
      <c r="P737" s="32" t="s">
        <v>238</v>
      </c>
      <c r="Q737" s="32" t="s">
        <v>239</v>
      </c>
      <c r="R737" s="32" t="s">
        <v>2453</v>
      </c>
      <c r="S737" s="32">
        <v>90</v>
      </c>
      <c r="T737" s="32" t="s">
        <v>421</v>
      </c>
      <c r="U737" s="32">
        <f>(6.44*1000)*S737</f>
        <v>579600</v>
      </c>
      <c r="V737" s="32" t="s">
        <v>2211</v>
      </c>
      <c r="W737" s="32">
        <f>VLOOKUP(N737, 'Exchange rate-Kenya'!$A$3:$B$65, 2, 0)</f>
        <v>101.99129838935001</v>
      </c>
      <c r="X737" s="32">
        <f t="shared" si="42"/>
        <v>5682.837743543445</v>
      </c>
      <c r="Y737" s="32">
        <f>(CPI!$B$112/O737)*X737</f>
        <v>6689.934100483174</v>
      </c>
      <c r="Z737" s="38" t="s">
        <v>303</v>
      </c>
      <c r="AA737" s="35" t="s">
        <v>1464</v>
      </c>
      <c r="AB737" s="32">
        <v>0.33</v>
      </c>
      <c r="AC737" s="32" t="s">
        <v>2286</v>
      </c>
      <c r="AH737" s="32" t="s">
        <v>411</v>
      </c>
      <c r="AJ737" s="36" t="s">
        <v>2456</v>
      </c>
      <c r="AK737" s="40" t="s">
        <v>1200</v>
      </c>
      <c r="AL737" s="32">
        <v>2021</v>
      </c>
      <c r="AM737" s="32" t="s">
        <v>1201</v>
      </c>
      <c r="AN737" s="32" t="s">
        <v>1202</v>
      </c>
      <c r="AO737" s="38" t="s">
        <v>1203</v>
      </c>
      <c r="AP737" s="35" t="s">
        <v>396</v>
      </c>
    </row>
    <row r="738" spans="1:42" x14ac:dyDescent="0.2">
      <c r="A738" s="40">
        <v>74</v>
      </c>
      <c r="B738" s="40">
        <v>737</v>
      </c>
      <c r="C738" s="40" t="s">
        <v>39</v>
      </c>
      <c r="D738" s="54" t="s">
        <v>38</v>
      </c>
      <c r="E738" s="32" t="s">
        <v>2183</v>
      </c>
      <c r="F738" s="32" t="s">
        <v>237</v>
      </c>
      <c r="G738" s="36" t="s">
        <v>2907</v>
      </c>
      <c r="H738" s="32" t="s">
        <v>151</v>
      </c>
      <c r="I738" s="32" t="s">
        <v>231</v>
      </c>
      <c r="J738" s="32" t="s">
        <v>1199</v>
      </c>
      <c r="K738" s="32" t="s">
        <v>129</v>
      </c>
      <c r="L738" s="32" t="s">
        <v>30</v>
      </c>
      <c r="M738" s="32" t="s">
        <v>30</v>
      </c>
      <c r="N738" s="40">
        <v>2019</v>
      </c>
      <c r="O738" s="32">
        <f>VLOOKUP(Data!N120, CPI!$A$2:$B$112, 2, 0)</f>
        <v>258.81099999999998</v>
      </c>
      <c r="P738" s="32" t="s">
        <v>238</v>
      </c>
      <c r="Q738" s="32" t="s">
        <v>239</v>
      </c>
      <c r="R738" s="32" t="s">
        <v>2454</v>
      </c>
      <c r="S738" s="32">
        <v>61.25</v>
      </c>
      <c r="T738" s="32" t="s">
        <v>421</v>
      </c>
      <c r="U738" s="32">
        <f>(6.44*1000)*S738</f>
        <v>394450</v>
      </c>
      <c r="V738" s="32" t="s">
        <v>2211</v>
      </c>
      <c r="W738" s="32">
        <f>VLOOKUP(N738, 'Exchange rate-Kenya'!$A$3:$B$65, 2, 0)</f>
        <v>101.99129838935001</v>
      </c>
      <c r="X738" s="32">
        <f t="shared" si="42"/>
        <v>3867.4867976892892</v>
      </c>
      <c r="Y738" s="32">
        <f>(CPI!$B$112/O738)*X738</f>
        <v>4552.871818384383</v>
      </c>
      <c r="Z738" s="38" t="s">
        <v>303</v>
      </c>
      <c r="AA738" s="35" t="s">
        <v>1464</v>
      </c>
      <c r="AB738" s="32">
        <v>0.33</v>
      </c>
      <c r="AC738" s="32" t="s">
        <v>2286</v>
      </c>
      <c r="AH738" s="32" t="s">
        <v>411</v>
      </c>
      <c r="AJ738" s="36" t="s">
        <v>2456</v>
      </c>
      <c r="AK738" s="40" t="s">
        <v>1200</v>
      </c>
      <c r="AL738" s="32">
        <v>2021</v>
      </c>
      <c r="AM738" s="32" t="s">
        <v>1201</v>
      </c>
      <c r="AN738" s="32" t="s">
        <v>1202</v>
      </c>
      <c r="AO738" s="38" t="s">
        <v>1203</v>
      </c>
      <c r="AP738" s="35" t="s">
        <v>396</v>
      </c>
    </row>
    <row r="739" spans="1:42" x14ac:dyDescent="0.2">
      <c r="A739" s="40">
        <v>74</v>
      </c>
      <c r="B739" s="40">
        <v>738</v>
      </c>
      <c r="C739" s="40" t="s">
        <v>39</v>
      </c>
      <c r="D739" s="54" t="s">
        <v>38</v>
      </c>
      <c r="E739" s="32" t="s">
        <v>2183</v>
      </c>
      <c r="F739" s="32" t="s">
        <v>237</v>
      </c>
      <c r="G739" s="36" t="s">
        <v>2907</v>
      </c>
      <c r="H739" s="32" t="s">
        <v>151</v>
      </c>
      <c r="I739" s="32" t="s">
        <v>231</v>
      </c>
      <c r="J739" s="32" t="s">
        <v>1199</v>
      </c>
      <c r="K739" s="32" t="s">
        <v>129</v>
      </c>
      <c r="L739" s="32" t="s">
        <v>30</v>
      </c>
      <c r="M739" s="32" t="s">
        <v>30</v>
      </c>
      <c r="N739" s="40">
        <v>2019</v>
      </c>
      <c r="O739" s="32">
        <f>VLOOKUP(Data!N121, CPI!$A$2:$B$112, 2, 0)</f>
        <v>245.12</v>
      </c>
      <c r="P739" s="32" t="s">
        <v>238</v>
      </c>
      <c r="Q739" s="32" t="s">
        <v>239</v>
      </c>
      <c r="R739" s="32" t="s">
        <v>2455</v>
      </c>
      <c r="S739" s="32">
        <v>32.770000000000003</v>
      </c>
      <c r="T739" s="32" t="s">
        <v>421</v>
      </c>
      <c r="U739" s="32">
        <f>(6.44*1000)*S739</f>
        <v>211038.80000000002</v>
      </c>
      <c r="V739" s="32" t="s">
        <v>2211</v>
      </c>
      <c r="W739" s="32">
        <f>VLOOKUP(N739, 'Exchange rate-Kenya'!$A$3:$B$65, 2, 0)</f>
        <v>101.99129838935001</v>
      </c>
      <c r="X739" s="32">
        <f t="shared" si="42"/>
        <v>2069.1843650657634</v>
      </c>
      <c r="Y739" s="32">
        <f>(CPI!$B$112/O739)*X739</f>
        <v>2571.9336141442977</v>
      </c>
      <c r="Z739" s="38" t="s">
        <v>303</v>
      </c>
      <c r="AA739" s="35" t="s">
        <v>1464</v>
      </c>
      <c r="AB739" s="32">
        <v>0.33</v>
      </c>
      <c r="AC739" s="32" t="s">
        <v>2286</v>
      </c>
      <c r="AH739" s="32" t="s">
        <v>411</v>
      </c>
      <c r="AJ739" s="36" t="s">
        <v>2456</v>
      </c>
      <c r="AK739" s="40" t="s">
        <v>1200</v>
      </c>
      <c r="AL739" s="32">
        <v>2021</v>
      </c>
      <c r="AM739" s="32" t="s">
        <v>1201</v>
      </c>
      <c r="AN739" s="32" t="s">
        <v>1202</v>
      </c>
      <c r="AO739" s="38" t="s">
        <v>1203</v>
      </c>
      <c r="AP739" s="35" t="s">
        <v>396</v>
      </c>
    </row>
    <row r="740" spans="1:42" x14ac:dyDescent="0.2">
      <c r="A740" s="40">
        <v>74</v>
      </c>
      <c r="B740" s="40">
        <v>739</v>
      </c>
      <c r="C740" s="40" t="s">
        <v>39</v>
      </c>
      <c r="D740" s="54" t="s">
        <v>38</v>
      </c>
      <c r="E740" s="32" t="s">
        <v>2183</v>
      </c>
      <c r="F740" s="32" t="s">
        <v>237</v>
      </c>
      <c r="G740" s="36" t="s">
        <v>2907</v>
      </c>
      <c r="H740" s="32" t="s">
        <v>151</v>
      </c>
      <c r="I740" s="32" t="s">
        <v>231</v>
      </c>
      <c r="J740" s="32" t="s">
        <v>1199</v>
      </c>
      <c r="K740" s="32" t="s">
        <v>129</v>
      </c>
      <c r="L740" s="32" t="s">
        <v>30</v>
      </c>
      <c r="M740" s="32" t="s">
        <v>30</v>
      </c>
      <c r="N740" s="40">
        <v>2019</v>
      </c>
      <c r="O740" s="32">
        <f>VLOOKUP(Data!N122, CPI!$A$2:$B$112, 2, 0)</f>
        <v>245.12</v>
      </c>
      <c r="P740" s="32" t="s">
        <v>238</v>
      </c>
      <c r="Q740" s="32" t="s">
        <v>239</v>
      </c>
      <c r="R740" s="32" t="s">
        <v>1198</v>
      </c>
      <c r="S740" s="32">
        <v>55</v>
      </c>
      <c r="T740" s="32" t="s">
        <v>421</v>
      </c>
      <c r="U740" s="32">
        <f>(6.07*1000)*S740</f>
        <v>333850</v>
      </c>
      <c r="V740" s="32" t="s">
        <v>2211</v>
      </c>
      <c r="W740" s="32">
        <f>VLOOKUP(N740, 'Exchange rate-Kenya'!$A$3:$B$65, 2, 0)</f>
        <v>101.99129838935001</v>
      </c>
      <c r="X740" s="32">
        <f t="shared" si="42"/>
        <v>3273.3184621842292</v>
      </c>
      <c r="Y740" s="32">
        <f>(CPI!$B$112/O740)*X740</f>
        <v>4068.635895778757</v>
      </c>
      <c r="Z740" s="38" t="s">
        <v>303</v>
      </c>
      <c r="AA740" s="35" t="s">
        <v>1464</v>
      </c>
      <c r="AB740" s="32">
        <v>0.33</v>
      </c>
      <c r="AC740" s="32" t="s">
        <v>2286</v>
      </c>
      <c r="AH740" s="32" t="s">
        <v>411</v>
      </c>
      <c r="AJ740" s="36" t="s">
        <v>2456</v>
      </c>
      <c r="AK740" s="40" t="s">
        <v>1200</v>
      </c>
      <c r="AL740" s="32">
        <v>2021</v>
      </c>
      <c r="AM740" s="32" t="s">
        <v>1201</v>
      </c>
      <c r="AN740" s="32" t="s">
        <v>1202</v>
      </c>
      <c r="AO740" s="38" t="s">
        <v>1203</v>
      </c>
      <c r="AP740" s="35" t="s">
        <v>396</v>
      </c>
    </row>
    <row r="741" spans="1:42" x14ac:dyDescent="0.2">
      <c r="A741" s="40">
        <v>74</v>
      </c>
      <c r="B741" s="40">
        <v>740</v>
      </c>
      <c r="C741" s="40" t="s">
        <v>39</v>
      </c>
      <c r="D741" s="54" t="s">
        <v>38</v>
      </c>
      <c r="E741" s="32" t="s">
        <v>2183</v>
      </c>
      <c r="F741" s="32" t="s">
        <v>237</v>
      </c>
      <c r="G741" s="36" t="s">
        <v>2907</v>
      </c>
      <c r="H741" s="32" t="s">
        <v>151</v>
      </c>
      <c r="I741" s="32" t="s">
        <v>231</v>
      </c>
      <c r="J741" s="32" t="s">
        <v>1199</v>
      </c>
      <c r="K741" s="32" t="s">
        <v>129</v>
      </c>
      <c r="L741" s="32" t="s">
        <v>30</v>
      </c>
      <c r="M741" s="32" t="s">
        <v>30</v>
      </c>
      <c r="N741" s="40">
        <v>2019</v>
      </c>
      <c r="O741" s="32">
        <f>VLOOKUP(Data!N123, CPI!$A$2:$B$112, 2, 0)</f>
        <v>245.12</v>
      </c>
      <c r="P741" s="32" t="s">
        <v>238</v>
      </c>
      <c r="Q741" s="32" t="s">
        <v>239</v>
      </c>
      <c r="R741" s="32" t="s">
        <v>1197</v>
      </c>
      <c r="S741" s="32">
        <v>32.369999999999997</v>
      </c>
      <c r="T741" s="32" t="s">
        <v>421</v>
      </c>
      <c r="U741" s="32">
        <f>(6.07*1000)*S741</f>
        <v>196485.9</v>
      </c>
      <c r="V741" s="32" t="s">
        <v>2211</v>
      </c>
      <c r="W741" s="32">
        <f>VLOOKUP(N741, 'Exchange rate-Kenya'!$A$3:$B$65, 2, 0)</f>
        <v>101.99129838935001</v>
      </c>
      <c r="X741" s="32">
        <f t="shared" si="42"/>
        <v>1926.4967021982452</v>
      </c>
      <c r="Y741" s="32">
        <f>(CPI!$B$112/O741)*X741</f>
        <v>2394.5771626610608</v>
      </c>
      <c r="Z741" s="38" t="s">
        <v>303</v>
      </c>
      <c r="AA741" s="35" t="s">
        <v>1464</v>
      </c>
      <c r="AB741" s="32">
        <v>0.33</v>
      </c>
      <c r="AC741" s="32" t="s">
        <v>2286</v>
      </c>
      <c r="AH741" s="32" t="s">
        <v>411</v>
      </c>
      <c r="AJ741" s="36" t="s">
        <v>2456</v>
      </c>
      <c r="AK741" s="40" t="s">
        <v>1200</v>
      </c>
      <c r="AL741" s="32">
        <v>2021</v>
      </c>
      <c r="AM741" s="32" t="s">
        <v>1201</v>
      </c>
      <c r="AN741" s="32" t="s">
        <v>1202</v>
      </c>
      <c r="AO741" s="38" t="s">
        <v>1203</v>
      </c>
      <c r="AP741" s="35" t="s">
        <v>396</v>
      </c>
    </row>
    <row r="742" spans="1:42" x14ac:dyDescent="0.2">
      <c r="A742" s="40">
        <v>75</v>
      </c>
      <c r="B742" s="40">
        <v>741</v>
      </c>
      <c r="C742" s="40" t="s">
        <v>241</v>
      </c>
      <c r="D742" s="38" t="s">
        <v>240</v>
      </c>
      <c r="E742" s="32" t="s">
        <v>2186</v>
      </c>
      <c r="F742" s="32" t="s">
        <v>21</v>
      </c>
      <c r="G742" s="38" t="s">
        <v>163</v>
      </c>
      <c r="H742" s="32" t="s">
        <v>151</v>
      </c>
      <c r="I742" s="32" t="s">
        <v>61</v>
      </c>
      <c r="J742" s="32" t="s">
        <v>1229</v>
      </c>
      <c r="K742" s="32" t="s">
        <v>129</v>
      </c>
      <c r="L742" s="32" t="s">
        <v>30</v>
      </c>
      <c r="M742" s="32" t="s">
        <v>30</v>
      </c>
      <c r="N742" s="40">
        <v>2004</v>
      </c>
      <c r="O742" s="32">
        <f>VLOOKUP(Data!N1456, CPI!$A$2:$B$112, 2, 0)</f>
        <v>240.00700000000001</v>
      </c>
      <c r="P742" s="32" t="s">
        <v>238</v>
      </c>
      <c r="Q742" s="32" t="s">
        <v>239</v>
      </c>
      <c r="R742" s="32" t="s">
        <v>1206</v>
      </c>
      <c r="S742" s="32">
        <v>362</v>
      </c>
      <c r="T742" s="32" t="s">
        <v>1228</v>
      </c>
      <c r="Z742" s="38" t="s">
        <v>347</v>
      </c>
      <c r="AA742" s="35" t="s">
        <v>1412</v>
      </c>
      <c r="AB742" s="32" t="s">
        <v>30</v>
      </c>
      <c r="AH742" s="32" t="s">
        <v>397</v>
      </c>
      <c r="AI742" s="32" t="s">
        <v>2268</v>
      </c>
      <c r="AK742" s="40" t="s">
        <v>1230</v>
      </c>
      <c r="AL742" s="32">
        <v>2008</v>
      </c>
      <c r="AM742" s="32" t="s">
        <v>1231</v>
      </c>
      <c r="AN742" s="32" t="s">
        <v>1232</v>
      </c>
      <c r="AO742" s="38" t="s">
        <v>1233</v>
      </c>
      <c r="AP742" s="35" t="s">
        <v>396</v>
      </c>
    </row>
    <row r="743" spans="1:42" x14ac:dyDescent="0.2">
      <c r="A743" s="40">
        <v>75</v>
      </c>
      <c r="B743" s="40">
        <v>742</v>
      </c>
      <c r="C743" s="40" t="s">
        <v>241</v>
      </c>
      <c r="D743" s="38" t="s">
        <v>240</v>
      </c>
      <c r="E743" s="32" t="s">
        <v>2186</v>
      </c>
      <c r="F743" s="32" t="s">
        <v>21</v>
      </c>
      <c r="G743" s="38" t="s">
        <v>163</v>
      </c>
      <c r="H743" s="32" t="s">
        <v>151</v>
      </c>
      <c r="I743" s="32" t="s">
        <v>61</v>
      </c>
      <c r="J743" s="32" t="s">
        <v>1229</v>
      </c>
      <c r="K743" s="32" t="s">
        <v>129</v>
      </c>
      <c r="L743" s="32" t="s">
        <v>30</v>
      </c>
      <c r="M743" s="32" t="s">
        <v>30</v>
      </c>
      <c r="N743" s="40">
        <v>2004</v>
      </c>
      <c r="O743" s="32">
        <f>VLOOKUP(Data!N1457, CPI!$A$2:$B$112, 2, 0)</f>
        <v>245.12</v>
      </c>
      <c r="P743" s="32" t="s">
        <v>238</v>
      </c>
      <c r="Q743" s="32" t="s">
        <v>239</v>
      </c>
      <c r="R743" s="32" t="s">
        <v>1207</v>
      </c>
      <c r="S743" s="32">
        <v>375</v>
      </c>
      <c r="T743" s="32" t="s">
        <v>1228</v>
      </c>
      <c r="Z743" s="38" t="s">
        <v>347</v>
      </c>
      <c r="AA743" s="35" t="s">
        <v>1412</v>
      </c>
      <c r="AB743" s="32" t="s">
        <v>30</v>
      </c>
      <c r="AH743" s="32" t="s">
        <v>397</v>
      </c>
      <c r="AI743" s="32" t="s">
        <v>2268</v>
      </c>
      <c r="AK743" s="40" t="s">
        <v>1230</v>
      </c>
      <c r="AL743" s="32">
        <v>2008</v>
      </c>
      <c r="AM743" s="32" t="s">
        <v>1231</v>
      </c>
      <c r="AN743" s="32" t="s">
        <v>1232</v>
      </c>
      <c r="AO743" s="38" t="s">
        <v>1233</v>
      </c>
      <c r="AP743" s="35" t="s">
        <v>396</v>
      </c>
    </row>
    <row r="744" spans="1:42" x14ac:dyDescent="0.2">
      <c r="A744" s="40">
        <v>75</v>
      </c>
      <c r="B744" s="40">
        <v>743</v>
      </c>
      <c r="C744" s="40" t="s">
        <v>241</v>
      </c>
      <c r="D744" s="38" t="s">
        <v>240</v>
      </c>
      <c r="E744" s="32" t="s">
        <v>2186</v>
      </c>
      <c r="F744" s="32" t="s">
        <v>21</v>
      </c>
      <c r="G744" s="38" t="s">
        <v>163</v>
      </c>
      <c r="H744" s="32" t="s">
        <v>151</v>
      </c>
      <c r="I744" s="32" t="s">
        <v>61</v>
      </c>
      <c r="J744" s="32" t="s">
        <v>1229</v>
      </c>
      <c r="K744" s="32" t="s">
        <v>129</v>
      </c>
      <c r="L744" s="32" t="s">
        <v>30</v>
      </c>
      <c r="M744" s="32" t="s">
        <v>30</v>
      </c>
      <c r="N744" s="40">
        <v>2004</v>
      </c>
      <c r="O744" s="32">
        <f>VLOOKUP(Data!N1458, CPI!$A$2:$B$112, 2, 0)</f>
        <v>251.107</v>
      </c>
      <c r="P744" s="32" t="s">
        <v>238</v>
      </c>
      <c r="Q744" s="32" t="s">
        <v>239</v>
      </c>
      <c r="R744" s="32" t="s">
        <v>1208</v>
      </c>
      <c r="S744" s="32">
        <v>309</v>
      </c>
      <c r="T744" s="32" t="s">
        <v>1228</v>
      </c>
      <c r="Z744" s="38" t="s">
        <v>347</v>
      </c>
      <c r="AA744" s="35" t="s">
        <v>1412</v>
      </c>
      <c r="AB744" s="32" t="s">
        <v>30</v>
      </c>
      <c r="AH744" s="32" t="s">
        <v>397</v>
      </c>
      <c r="AI744" s="32" t="s">
        <v>2268</v>
      </c>
      <c r="AK744" s="40" t="s">
        <v>1230</v>
      </c>
      <c r="AL744" s="32">
        <v>2008</v>
      </c>
      <c r="AM744" s="32" t="s">
        <v>1231</v>
      </c>
      <c r="AN744" s="32" t="s">
        <v>1232</v>
      </c>
      <c r="AO744" s="38" t="s">
        <v>1233</v>
      </c>
      <c r="AP744" s="35" t="s">
        <v>396</v>
      </c>
    </row>
    <row r="745" spans="1:42" x14ac:dyDescent="0.2">
      <c r="A745" s="40">
        <v>75</v>
      </c>
      <c r="B745" s="40">
        <v>744</v>
      </c>
      <c r="C745" s="40" t="s">
        <v>241</v>
      </c>
      <c r="D745" s="38" t="s">
        <v>240</v>
      </c>
      <c r="E745" s="32" t="s">
        <v>2186</v>
      </c>
      <c r="F745" s="32" t="s">
        <v>21</v>
      </c>
      <c r="G745" s="38" t="s">
        <v>163</v>
      </c>
      <c r="H745" s="32" t="s">
        <v>151</v>
      </c>
      <c r="I745" s="32" t="s">
        <v>61</v>
      </c>
      <c r="J745" s="32" t="s">
        <v>1229</v>
      </c>
      <c r="K745" s="32" t="s">
        <v>129</v>
      </c>
      <c r="L745" s="32" t="s">
        <v>30</v>
      </c>
      <c r="M745" s="32" t="s">
        <v>30</v>
      </c>
      <c r="N745" s="40">
        <v>2004</v>
      </c>
      <c r="O745" s="32">
        <f>VLOOKUP(Data!N1459, CPI!$A$2:$B$112, 2, 0)</f>
        <v>251.107</v>
      </c>
      <c r="P745" s="32" t="s">
        <v>238</v>
      </c>
      <c r="Q745" s="32" t="s">
        <v>239</v>
      </c>
      <c r="R745" s="32" t="s">
        <v>1209</v>
      </c>
      <c r="S745" s="32">
        <v>262</v>
      </c>
      <c r="T745" s="32" t="s">
        <v>1228</v>
      </c>
      <c r="Z745" s="38" t="s">
        <v>347</v>
      </c>
      <c r="AA745" s="35" t="s">
        <v>1412</v>
      </c>
      <c r="AB745" s="32" t="s">
        <v>30</v>
      </c>
      <c r="AH745" s="32" t="s">
        <v>397</v>
      </c>
      <c r="AI745" s="32" t="s">
        <v>2268</v>
      </c>
      <c r="AK745" s="40" t="s">
        <v>1230</v>
      </c>
      <c r="AL745" s="32">
        <v>2008</v>
      </c>
      <c r="AM745" s="32" t="s">
        <v>1231</v>
      </c>
      <c r="AN745" s="32" t="s">
        <v>1232</v>
      </c>
      <c r="AO745" s="38" t="s">
        <v>1233</v>
      </c>
      <c r="AP745" s="35" t="s">
        <v>396</v>
      </c>
    </row>
    <row r="746" spans="1:42" x14ac:dyDescent="0.2">
      <c r="A746" s="40">
        <v>75</v>
      </c>
      <c r="B746" s="40">
        <v>745</v>
      </c>
      <c r="C746" s="40" t="s">
        <v>241</v>
      </c>
      <c r="D746" s="38" t="s">
        <v>240</v>
      </c>
      <c r="E746" s="32" t="s">
        <v>2186</v>
      </c>
      <c r="F746" s="32" t="s">
        <v>21</v>
      </c>
      <c r="G746" s="38" t="s">
        <v>163</v>
      </c>
      <c r="H746" s="32" t="s">
        <v>151</v>
      </c>
      <c r="I746" s="32" t="s">
        <v>61</v>
      </c>
      <c r="J746" s="32" t="s">
        <v>1229</v>
      </c>
      <c r="K746" s="32" t="s">
        <v>129</v>
      </c>
      <c r="L746" s="32" t="s">
        <v>30</v>
      </c>
      <c r="M746" s="32" t="s">
        <v>30</v>
      </c>
      <c r="N746" s="40">
        <v>2004</v>
      </c>
      <c r="O746" s="32">
        <f>VLOOKUP(Data!N1460, CPI!$A$2:$B$112, 2, 0)</f>
        <v>251.107</v>
      </c>
      <c r="P746" s="32" t="s">
        <v>238</v>
      </c>
      <c r="Q746" s="32" t="s">
        <v>239</v>
      </c>
      <c r="R746" s="32" t="s">
        <v>1210</v>
      </c>
      <c r="S746" s="32">
        <v>328</v>
      </c>
      <c r="T746" s="32" t="s">
        <v>1228</v>
      </c>
      <c r="Z746" s="38" t="s">
        <v>347</v>
      </c>
      <c r="AA746" s="35" t="s">
        <v>1412</v>
      </c>
      <c r="AB746" s="32" t="s">
        <v>30</v>
      </c>
      <c r="AH746" s="32" t="s">
        <v>397</v>
      </c>
      <c r="AI746" s="32" t="s">
        <v>2268</v>
      </c>
      <c r="AK746" s="40" t="s">
        <v>1230</v>
      </c>
      <c r="AL746" s="32">
        <v>2008</v>
      </c>
      <c r="AM746" s="32" t="s">
        <v>1231</v>
      </c>
      <c r="AN746" s="32" t="s">
        <v>1232</v>
      </c>
      <c r="AO746" s="38" t="s">
        <v>1233</v>
      </c>
      <c r="AP746" s="35" t="s">
        <v>396</v>
      </c>
    </row>
    <row r="747" spans="1:42" x14ac:dyDescent="0.2">
      <c r="A747" s="40">
        <v>75</v>
      </c>
      <c r="B747" s="40">
        <v>746</v>
      </c>
      <c r="C747" s="40" t="s">
        <v>241</v>
      </c>
      <c r="D747" s="38" t="s">
        <v>240</v>
      </c>
      <c r="E747" s="32" t="s">
        <v>2186</v>
      </c>
      <c r="F747" s="32" t="s">
        <v>21</v>
      </c>
      <c r="G747" s="38" t="s">
        <v>163</v>
      </c>
      <c r="H747" s="32" t="s">
        <v>151</v>
      </c>
      <c r="I747" s="32" t="s">
        <v>61</v>
      </c>
      <c r="J747" s="32" t="s">
        <v>1229</v>
      </c>
      <c r="K747" s="32" t="s">
        <v>129</v>
      </c>
      <c r="L747" s="32" t="s">
        <v>30</v>
      </c>
      <c r="M747" s="32" t="s">
        <v>30</v>
      </c>
      <c r="N747" s="40">
        <v>2004</v>
      </c>
      <c r="O747" s="32">
        <f>VLOOKUP(Data!N1461, CPI!$A$2:$B$112, 2, 0)</f>
        <v>251.107</v>
      </c>
      <c r="P747" s="32" t="s">
        <v>238</v>
      </c>
      <c r="Q747" s="32" t="s">
        <v>239</v>
      </c>
      <c r="R747" s="32" t="s">
        <v>1211</v>
      </c>
      <c r="S747" s="32">
        <v>154</v>
      </c>
      <c r="T747" s="32" t="s">
        <v>1228</v>
      </c>
      <c r="Z747" s="38" t="s">
        <v>347</v>
      </c>
      <c r="AA747" s="35" t="s">
        <v>1412</v>
      </c>
      <c r="AB747" s="32" t="s">
        <v>30</v>
      </c>
      <c r="AH747" s="32" t="s">
        <v>397</v>
      </c>
      <c r="AI747" s="32" t="s">
        <v>2268</v>
      </c>
      <c r="AK747" s="40" t="s">
        <v>1230</v>
      </c>
      <c r="AL747" s="32">
        <v>2008</v>
      </c>
      <c r="AM747" s="32" t="s">
        <v>1231</v>
      </c>
      <c r="AN747" s="32" t="s">
        <v>1232</v>
      </c>
      <c r="AO747" s="38" t="s">
        <v>1233</v>
      </c>
      <c r="AP747" s="35" t="s">
        <v>396</v>
      </c>
    </row>
    <row r="748" spans="1:42" x14ac:dyDescent="0.2">
      <c r="A748" s="40">
        <v>75</v>
      </c>
      <c r="B748" s="40">
        <v>747</v>
      </c>
      <c r="C748" s="40" t="s">
        <v>241</v>
      </c>
      <c r="D748" s="38" t="s">
        <v>240</v>
      </c>
      <c r="E748" s="32" t="s">
        <v>2186</v>
      </c>
      <c r="F748" s="32" t="s">
        <v>21</v>
      </c>
      <c r="G748" s="38" t="s">
        <v>163</v>
      </c>
      <c r="H748" s="32" t="s">
        <v>151</v>
      </c>
      <c r="I748" s="32" t="s">
        <v>61</v>
      </c>
      <c r="J748" s="32" t="s">
        <v>1229</v>
      </c>
      <c r="K748" s="32" t="s">
        <v>129</v>
      </c>
      <c r="L748" s="32" t="s">
        <v>30</v>
      </c>
      <c r="M748" s="32" t="s">
        <v>30</v>
      </c>
      <c r="N748" s="40">
        <v>2004</v>
      </c>
      <c r="O748" s="32">
        <f>VLOOKUP(Data!N1462, CPI!$A$2:$B$112, 2, 0)</f>
        <v>251.107</v>
      </c>
      <c r="P748" s="32" t="s">
        <v>238</v>
      </c>
      <c r="Q748" s="32" t="s">
        <v>239</v>
      </c>
      <c r="R748" s="32" t="s">
        <v>1204</v>
      </c>
      <c r="S748" s="32">
        <v>171</v>
      </c>
      <c r="T748" s="32" t="s">
        <v>1228</v>
      </c>
      <c r="Z748" s="38" t="s">
        <v>347</v>
      </c>
      <c r="AA748" s="35" t="s">
        <v>1412</v>
      </c>
      <c r="AB748" s="32" t="s">
        <v>30</v>
      </c>
      <c r="AH748" s="32" t="s">
        <v>397</v>
      </c>
      <c r="AI748" s="32" t="s">
        <v>2268</v>
      </c>
      <c r="AK748" s="40" t="s">
        <v>1230</v>
      </c>
      <c r="AL748" s="32">
        <v>2008</v>
      </c>
      <c r="AM748" s="32" t="s">
        <v>1231</v>
      </c>
      <c r="AN748" s="32" t="s">
        <v>1232</v>
      </c>
      <c r="AO748" s="38" t="s">
        <v>1233</v>
      </c>
      <c r="AP748" s="35" t="s">
        <v>396</v>
      </c>
    </row>
    <row r="749" spans="1:42" x14ac:dyDescent="0.2">
      <c r="A749" s="40">
        <v>75</v>
      </c>
      <c r="B749" s="40">
        <v>748</v>
      </c>
      <c r="C749" s="40" t="s">
        <v>241</v>
      </c>
      <c r="D749" s="38" t="s">
        <v>240</v>
      </c>
      <c r="E749" s="32" t="s">
        <v>2186</v>
      </c>
      <c r="F749" s="32" t="s">
        <v>21</v>
      </c>
      <c r="G749" s="38" t="s">
        <v>163</v>
      </c>
      <c r="H749" s="32" t="s">
        <v>151</v>
      </c>
      <c r="I749" s="32" t="s">
        <v>61</v>
      </c>
      <c r="J749" s="32" t="s">
        <v>1229</v>
      </c>
      <c r="K749" s="32" t="s">
        <v>129</v>
      </c>
      <c r="L749" s="32" t="s">
        <v>30</v>
      </c>
      <c r="M749" s="32" t="s">
        <v>30</v>
      </c>
      <c r="N749" s="40">
        <v>2004</v>
      </c>
      <c r="O749" s="32">
        <f>VLOOKUP(Data!N1463, CPI!$A$2:$B$112, 2, 0)</f>
        <v>251.107</v>
      </c>
      <c r="P749" s="32" t="s">
        <v>238</v>
      </c>
      <c r="Q749" s="32" t="s">
        <v>239</v>
      </c>
      <c r="R749" s="32" t="s">
        <v>1205</v>
      </c>
      <c r="S749" s="32">
        <v>259</v>
      </c>
      <c r="T749" s="32" t="s">
        <v>1228</v>
      </c>
      <c r="Z749" s="38" t="s">
        <v>347</v>
      </c>
      <c r="AA749" s="35" t="s">
        <v>1412</v>
      </c>
      <c r="AB749" s="32" t="s">
        <v>30</v>
      </c>
      <c r="AH749" s="32" t="s">
        <v>397</v>
      </c>
      <c r="AI749" s="32" t="s">
        <v>2268</v>
      </c>
      <c r="AK749" s="40" t="s">
        <v>1230</v>
      </c>
      <c r="AL749" s="32">
        <v>2008</v>
      </c>
      <c r="AM749" s="32" t="s">
        <v>1231</v>
      </c>
      <c r="AN749" s="32" t="s">
        <v>1232</v>
      </c>
      <c r="AO749" s="38" t="s">
        <v>1233</v>
      </c>
      <c r="AP749" s="35" t="s">
        <v>396</v>
      </c>
    </row>
    <row r="750" spans="1:42" x14ac:dyDescent="0.2">
      <c r="A750" s="40">
        <v>75</v>
      </c>
      <c r="B750" s="40">
        <v>749</v>
      </c>
      <c r="C750" s="40" t="s">
        <v>241</v>
      </c>
      <c r="D750" s="38" t="s">
        <v>240</v>
      </c>
      <c r="E750" s="32" t="s">
        <v>2186</v>
      </c>
      <c r="F750" s="32" t="s">
        <v>21</v>
      </c>
      <c r="G750" s="38" t="s">
        <v>163</v>
      </c>
      <c r="H750" s="32" t="s">
        <v>151</v>
      </c>
      <c r="I750" s="32" t="s">
        <v>61</v>
      </c>
      <c r="J750" s="32" t="s">
        <v>1229</v>
      </c>
      <c r="K750" s="32" t="s">
        <v>129</v>
      </c>
      <c r="L750" s="32" t="s">
        <v>30</v>
      </c>
      <c r="M750" s="32" t="s">
        <v>30</v>
      </c>
      <c r="N750" s="40">
        <v>2004</v>
      </c>
      <c r="O750" s="32">
        <f>VLOOKUP(Data!N1464, CPI!$A$2:$B$112, 2, 0)</f>
        <v>251.107</v>
      </c>
      <c r="P750" s="32" t="s">
        <v>238</v>
      </c>
      <c r="Q750" s="32" t="s">
        <v>239</v>
      </c>
      <c r="R750" s="32" t="s">
        <v>1212</v>
      </c>
      <c r="S750" s="32">
        <v>208</v>
      </c>
      <c r="T750" s="32" t="s">
        <v>1228</v>
      </c>
      <c r="Z750" s="38" t="s">
        <v>347</v>
      </c>
      <c r="AA750" s="35" t="s">
        <v>1412</v>
      </c>
      <c r="AB750" s="32" t="s">
        <v>30</v>
      </c>
      <c r="AH750" s="32" t="s">
        <v>397</v>
      </c>
      <c r="AI750" s="32" t="s">
        <v>2268</v>
      </c>
      <c r="AK750" s="40" t="s">
        <v>1230</v>
      </c>
      <c r="AL750" s="32">
        <v>2008</v>
      </c>
      <c r="AM750" s="32" t="s">
        <v>1231</v>
      </c>
      <c r="AN750" s="32" t="s">
        <v>1232</v>
      </c>
      <c r="AO750" s="38" t="s">
        <v>1233</v>
      </c>
      <c r="AP750" s="35" t="s">
        <v>396</v>
      </c>
    </row>
    <row r="751" spans="1:42" x14ac:dyDescent="0.2">
      <c r="A751" s="40">
        <v>75</v>
      </c>
      <c r="B751" s="40">
        <v>750</v>
      </c>
      <c r="C751" s="40" t="s">
        <v>241</v>
      </c>
      <c r="D751" s="38" t="s">
        <v>240</v>
      </c>
      <c r="E751" s="32" t="s">
        <v>2186</v>
      </c>
      <c r="F751" s="32" t="s">
        <v>21</v>
      </c>
      <c r="G751" s="38" t="s">
        <v>163</v>
      </c>
      <c r="H751" s="32" t="s">
        <v>151</v>
      </c>
      <c r="I751" s="32" t="s">
        <v>61</v>
      </c>
      <c r="J751" s="32" t="s">
        <v>1229</v>
      </c>
      <c r="K751" s="32" t="s">
        <v>129</v>
      </c>
      <c r="L751" s="32" t="s">
        <v>30</v>
      </c>
      <c r="M751" s="32" t="s">
        <v>30</v>
      </c>
      <c r="N751" s="40">
        <v>2004</v>
      </c>
      <c r="O751" s="32">
        <f>VLOOKUP(Data!N1465, CPI!$A$2:$B$112, 2, 0)</f>
        <v>251.107</v>
      </c>
      <c r="P751" s="32" t="s">
        <v>238</v>
      </c>
      <c r="Q751" s="32" t="s">
        <v>239</v>
      </c>
      <c r="R751" s="32" t="s">
        <v>1213</v>
      </c>
      <c r="S751" s="32">
        <v>270</v>
      </c>
      <c r="T751" s="32" t="s">
        <v>1228</v>
      </c>
      <c r="Z751" s="38" t="s">
        <v>347</v>
      </c>
      <c r="AA751" s="35" t="s">
        <v>1412</v>
      </c>
      <c r="AB751" s="32" t="s">
        <v>30</v>
      </c>
      <c r="AH751" s="32" t="s">
        <v>397</v>
      </c>
      <c r="AI751" s="32" t="s">
        <v>2268</v>
      </c>
      <c r="AK751" s="40" t="s">
        <v>1230</v>
      </c>
      <c r="AL751" s="32">
        <v>2008</v>
      </c>
      <c r="AM751" s="32" t="s">
        <v>1231</v>
      </c>
      <c r="AN751" s="32" t="s">
        <v>1232</v>
      </c>
      <c r="AO751" s="38" t="s">
        <v>1233</v>
      </c>
      <c r="AP751" s="35" t="s">
        <v>396</v>
      </c>
    </row>
    <row r="752" spans="1:42" x14ac:dyDescent="0.2">
      <c r="A752" s="40">
        <v>75</v>
      </c>
      <c r="B752" s="40">
        <v>751</v>
      </c>
      <c r="C752" s="40" t="s">
        <v>241</v>
      </c>
      <c r="D752" s="38" t="s">
        <v>240</v>
      </c>
      <c r="E752" s="32" t="s">
        <v>2186</v>
      </c>
      <c r="F752" s="32" t="s">
        <v>21</v>
      </c>
      <c r="G752" s="38" t="s">
        <v>163</v>
      </c>
      <c r="H752" s="32" t="s">
        <v>151</v>
      </c>
      <c r="I752" s="32" t="s">
        <v>61</v>
      </c>
      <c r="J752" s="32" t="s">
        <v>1229</v>
      </c>
      <c r="K752" s="32" t="s">
        <v>129</v>
      </c>
      <c r="L752" s="32" t="s">
        <v>30</v>
      </c>
      <c r="M752" s="32" t="s">
        <v>30</v>
      </c>
      <c r="N752" s="40">
        <v>2004</v>
      </c>
      <c r="O752" s="32">
        <f>VLOOKUP(Data!N1466, CPI!$A$2:$B$112, 2, 0)</f>
        <v>251.107</v>
      </c>
      <c r="P752" s="32" t="s">
        <v>238</v>
      </c>
      <c r="Q752" s="32" t="s">
        <v>239</v>
      </c>
      <c r="R752" s="32" t="s">
        <v>1214</v>
      </c>
      <c r="S752" s="32">
        <v>281</v>
      </c>
      <c r="T752" s="32" t="s">
        <v>1228</v>
      </c>
      <c r="Z752" s="38" t="s">
        <v>347</v>
      </c>
      <c r="AA752" s="35" t="s">
        <v>1412</v>
      </c>
      <c r="AB752" s="32" t="s">
        <v>30</v>
      </c>
      <c r="AH752" s="32" t="s">
        <v>397</v>
      </c>
      <c r="AI752" s="32" t="s">
        <v>2268</v>
      </c>
      <c r="AK752" s="40" t="s">
        <v>1230</v>
      </c>
      <c r="AL752" s="32">
        <v>2008</v>
      </c>
      <c r="AM752" s="32" t="s">
        <v>1231</v>
      </c>
      <c r="AN752" s="32" t="s">
        <v>1232</v>
      </c>
      <c r="AO752" s="38" t="s">
        <v>1233</v>
      </c>
      <c r="AP752" s="35" t="s">
        <v>396</v>
      </c>
    </row>
    <row r="753" spans="1:42" x14ac:dyDescent="0.2">
      <c r="A753" s="40">
        <v>75</v>
      </c>
      <c r="B753" s="40">
        <v>752</v>
      </c>
      <c r="C753" s="40" t="s">
        <v>241</v>
      </c>
      <c r="D753" s="38" t="s">
        <v>240</v>
      </c>
      <c r="E753" s="32" t="s">
        <v>2186</v>
      </c>
      <c r="F753" s="32" t="s">
        <v>21</v>
      </c>
      <c r="G753" s="38" t="s">
        <v>163</v>
      </c>
      <c r="H753" s="32" t="s">
        <v>151</v>
      </c>
      <c r="I753" s="32" t="s">
        <v>61</v>
      </c>
      <c r="J753" s="32" t="s">
        <v>1229</v>
      </c>
      <c r="K753" s="32" t="s">
        <v>129</v>
      </c>
      <c r="L753" s="32" t="s">
        <v>30</v>
      </c>
      <c r="M753" s="32" t="s">
        <v>30</v>
      </c>
      <c r="N753" s="40">
        <v>2004</v>
      </c>
      <c r="O753" s="32">
        <f>VLOOKUP(Data!N1467, CPI!$A$2:$B$112, 2, 0)</f>
        <v>240.00700000000001</v>
      </c>
      <c r="P753" s="32" t="s">
        <v>238</v>
      </c>
      <c r="Q753" s="32" t="s">
        <v>239</v>
      </c>
      <c r="R753" s="32" t="s">
        <v>1215</v>
      </c>
      <c r="S753" s="32">
        <v>238</v>
      </c>
      <c r="T753" s="32" t="s">
        <v>1228</v>
      </c>
      <c r="Z753" s="38" t="s">
        <v>347</v>
      </c>
      <c r="AA753" s="35" t="s">
        <v>1412</v>
      </c>
      <c r="AB753" s="32" t="s">
        <v>30</v>
      </c>
      <c r="AH753" s="32" t="s">
        <v>397</v>
      </c>
      <c r="AI753" s="32" t="s">
        <v>2268</v>
      </c>
      <c r="AK753" s="40" t="s">
        <v>1230</v>
      </c>
      <c r="AL753" s="32">
        <v>2008</v>
      </c>
      <c r="AM753" s="32" t="s">
        <v>1231</v>
      </c>
      <c r="AN753" s="32" t="s">
        <v>1232</v>
      </c>
      <c r="AO753" s="38" t="s">
        <v>1233</v>
      </c>
      <c r="AP753" s="35" t="s">
        <v>396</v>
      </c>
    </row>
    <row r="754" spans="1:42" x14ac:dyDescent="0.2">
      <c r="A754" s="40">
        <v>75</v>
      </c>
      <c r="B754" s="40">
        <v>753</v>
      </c>
      <c r="C754" s="40" t="s">
        <v>241</v>
      </c>
      <c r="D754" s="38" t="s">
        <v>240</v>
      </c>
      <c r="E754" s="32" t="s">
        <v>2186</v>
      </c>
      <c r="F754" s="32" t="s">
        <v>21</v>
      </c>
      <c r="G754" s="38" t="s">
        <v>163</v>
      </c>
      <c r="H754" s="32" t="s">
        <v>151</v>
      </c>
      <c r="I754" s="32" t="s">
        <v>61</v>
      </c>
      <c r="J754" s="32" t="s">
        <v>1229</v>
      </c>
      <c r="K754" s="32" t="s">
        <v>129</v>
      </c>
      <c r="L754" s="32" t="s">
        <v>30</v>
      </c>
      <c r="M754" s="32" t="s">
        <v>30</v>
      </c>
      <c r="N754" s="40">
        <v>2004</v>
      </c>
      <c r="O754" s="32">
        <f>VLOOKUP(Data!N1468, CPI!$A$2:$B$112, 2, 0)</f>
        <v>240.00700000000001</v>
      </c>
      <c r="P754" s="32" t="s">
        <v>238</v>
      </c>
      <c r="Q754" s="32" t="s">
        <v>239</v>
      </c>
      <c r="R754" s="32" t="s">
        <v>1216</v>
      </c>
      <c r="S754" s="32">
        <v>162</v>
      </c>
      <c r="T754" s="32" t="s">
        <v>1228</v>
      </c>
      <c r="Z754" s="38" t="s">
        <v>347</v>
      </c>
      <c r="AA754" s="35" t="s">
        <v>1412</v>
      </c>
      <c r="AB754" s="32" t="s">
        <v>30</v>
      </c>
      <c r="AH754" s="32" t="s">
        <v>397</v>
      </c>
      <c r="AI754" s="32" t="s">
        <v>2268</v>
      </c>
      <c r="AK754" s="40" t="s">
        <v>1230</v>
      </c>
      <c r="AL754" s="32">
        <v>2008</v>
      </c>
      <c r="AM754" s="32" t="s">
        <v>1231</v>
      </c>
      <c r="AN754" s="32" t="s">
        <v>1232</v>
      </c>
      <c r="AO754" s="38" t="s">
        <v>1233</v>
      </c>
      <c r="AP754" s="35" t="s">
        <v>396</v>
      </c>
    </row>
    <row r="755" spans="1:42" x14ac:dyDescent="0.2">
      <c r="A755" s="40">
        <v>75</v>
      </c>
      <c r="B755" s="40">
        <v>754</v>
      </c>
      <c r="C755" s="40" t="s">
        <v>241</v>
      </c>
      <c r="D755" s="38" t="s">
        <v>240</v>
      </c>
      <c r="E755" s="32" t="s">
        <v>2186</v>
      </c>
      <c r="F755" s="32" t="s">
        <v>21</v>
      </c>
      <c r="G755" s="38" t="s">
        <v>163</v>
      </c>
      <c r="H755" s="32" t="s">
        <v>151</v>
      </c>
      <c r="I755" s="32" t="s">
        <v>61</v>
      </c>
      <c r="J755" s="32" t="s">
        <v>1229</v>
      </c>
      <c r="K755" s="32" t="s">
        <v>129</v>
      </c>
      <c r="L755" s="32" t="s">
        <v>30</v>
      </c>
      <c r="M755" s="32" t="s">
        <v>30</v>
      </c>
      <c r="N755" s="40">
        <v>2004</v>
      </c>
      <c r="O755" s="32">
        <f>VLOOKUP(Data!N1469, CPI!$A$2:$B$112, 2, 0)</f>
        <v>240.00700000000001</v>
      </c>
      <c r="P755" s="32" t="s">
        <v>238</v>
      </c>
      <c r="Q755" s="32" t="s">
        <v>239</v>
      </c>
      <c r="R755" s="32" t="s">
        <v>1217</v>
      </c>
      <c r="S755" s="32">
        <v>117</v>
      </c>
      <c r="T755" s="32" t="s">
        <v>1228</v>
      </c>
      <c r="Z755" s="38" t="s">
        <v>347</v>
      </c>
      <c r="AA755" s="35" t="s">
        <v>1412</v>
      </c>
      <c r="AB755" s="32" t="s">
        <v>30</v>
      </c>
      <c r="AH755" s="32" t="s">
        <v>397</v>
      </c>
      <c r="AI755" s="32" t="s">
        <v>2268</v>
      </c>
      <c r="AK755" s="40" t="s">
        <v>1230</v>
      </c>
      <c r="AL755" s="32">
        <v>2008</v>
      </c>
      <c r="AM755" s="32" t="s">
        <v>1231</v>
      </c>
      <c r="AN755" s="32" t="s">
        <v>1232</v>
      </c>
      <c r="AO755" s="38" t="s">
        <v>1233</v>
      </c>
      <c r="AP755" s="35" t="s">
        <v>396</v>
      </c>
    </row>
    <row r="756" spans="1:42" x14ac:dyDescent="0.2">
      <c r="A756" s="40">
        <v>75</v>
      </c>
      <c r="B756" s="40">
        <v>755</v>
      </c>
      <c r="C756" s="40" t="s">
        <v>241</v>
      </c>
      <c r="D756" s="38" t="s">
        <v>240</v>
      </c>
      <c r="E756" s="32" t="s">
        <v>2186</v>
      </c>
      <c r="F756" s="32" t="s">
        <v>21</v>
      </c>
      <c r="G756" s="38" t="s">
        <v>163</v>
      </c>
      <c r="H756" s="32" t="s">
        <v>151</v>
      </c>
      <c r="I756" s="32" t="s">
        <v>61</v>
      </c>
      <c r="J756" s="32" t="s">
        <v>1229</v>
      </c>
      <c r="K756" s="32" t="s">
        <v>129</v>
      </c>
      <c r="L756" s="32" t="s">
        <v>30</v>
      </c>
      <c r="M756" s="32" t="s">
        <v>30</v>
      </c>
      <c r="N756" s="40">
        <v>2004</v>
      </c>
      <c r="O756" s="32">
        <f>VLOOKUP(Data!N1470, CPI!$A$2:$B$112, 2, 0)</f>
        <v>240.00700000000001</v>
      </c>
      <c r="P756" s="32" t="s">
        <v>238</v>
      </c>
      <c r="Q756" s="32" t="s">
        <v>239</v>
      </c>
      <c r="R756" s="32" t="s">
        <v>1218</v>
      </c>
      <c r="S756" s="32">
        <v>171</v>
      </c>
      <c r="T756" s="32" t="s">
        <v>1228</v>
      </c>
      <c r="Z756" s="38" t="s">
        <v>347</v>
      </c>
      <c r="AA756" s="35" t="s">
        <v>1412</v>
      </c>
      <c r="AB756" s="32" t="s">
        <v>30</v>
      </c>
      <c r="AH756" s="32" t="s">
        <v>397</v>
      </c>
      <c r="AI756" s="32" t="s">
        <v>2268</v>
      </c>
      <c r="AK756" s="40" t="s">
        <v>1230</v>
      </c>
      <c r="AL756" s="32">
        <v>2008</v>
      </c>
      <c r="AM756" s="32" t="s">
        <v>1231</v>
      </c>
      <c r="AN756" s="32" t="s">
        <v>1232</v>
      </c>
      <c r="AO756" s="38" t="s">
        <v>1233</v>
      </c>
      <c r="AP756" s="35" t="s">
        <v>396</v>
      </c>
    </row>
    <row r="757" spans="1:42" x14ac:dyDescent="0.2">
      <c r="A757" s="40">
        <v>75</v>
      </c>
      <c r="B757" s="40">
        <v>756</v>
      </c>
      <c r="C757" s="40" t="s">
        <v>241</v>
      </c>
      <c r="D757" s="38" t="s">
        <v>240</v>
      </c>
      <c r="E757" s="32" t="s">
        <v>2186</v>
      </c>
      <c r="F757" s="32" t="s">
        <v>21</v>
      </c>
      <c r="G757" s="38" t="s">
        <v>163</v>
      </c>
      <c r="H757" s="32" t="s">
        <v>151</v>
      </c>
      <c r="I757" s="32" t="s">
        <v>61</v>
      </c>
      <c r="J757" s="32" t="s">
        <v>1229</v>
      </c>
      <c r="K757" s="32" t="s">
        <v>129</v>
      </c>
      <c r="L757" s="32" t="s">
        <v>30</v>
      </c>
      <c r="M757" s="32" t="s">
        <v>30</v>
      </c>
      <c r="N757" s="40">
        <v>2004</v>
      </c>
      <c r="O757" s="32">
        <f>VLOOKUP(Data!N1471, CPI!$A$2:$B$112, 2, 0)</f>
        <v>207.3</v>
      </c>
      <c r="P757" s="32" t="s">
        <v>238</v>
      </c>
      <c r="Q757" s="32" t="s">
        <v>239</v>
      </c>
      <c r="R757" s="32" t="s">
        <v>1219</v>
      </c>
      <c r="S757" s="32">
        <v>170</v>
      </c>
      <c r="T757" s="32" t="s">
        <v>1228</v>
      </c>
      <c r="Z757" s="38" t="s">
        <v>347</v>
      </c>
      <c r="AA757" s="35" t="s">
        <v>1412</v>
      </c>
      <c r="AB757" s="32" t="s">
        <v>30</v>
      </c>
      <c r="AH757" s="32" t="s">
        <v>397</v>
      </c>
      <c r="AI757" s="32" t="s">
        <v>2268</v>
      </c>
      <c r="AK757" s="40" t="s">
        <v>1230</v>
      </c>
      <c r="AL757" s="32">
        <v>2008</v>
      </c>
      <c r="AM757" s="32" t="s">
        <v>1231</v>
      </c>
      <c r="AN757" s="32" t="s">
        <v>1232</v>
      </c>
      <c r="AO757" s="38" t="s">
        <v>1233</v>
      </c>
      <c r="AP757" s="35" t="s">
        <v>396</v>
      </c>
    </row>
    <row r="758" spans="1:42" x14ac:dyDescent="0.2">
      <c r="A758" s="40">
        <v>75</v>
      </c>
      <c r="B758" s="40">
        <v>757</v>
      </c>
      <c r="C758" s="40" t="s">
        <v>241</v>
      </c>
      <c r="D758" s="38" t="s">
        <v>240</v>
      </c>
      <c r="E758" s="32" t="s">
        <v>2186</v>
      </c>
      <c r="F758" s="32" t="s">
        <v>21</v>
      </c>
      <c r="G758" s="38" t="s">
        <v>163</v>
      </c>
      <c r="H758" s="32" t="s">
        <v>151</v>
      </c>
      <c r="I758" s="32" t="s">
        <v>61</v>
      </c>
      <c r="J758" s="32" t="s">
        <v>1229</v>
      </c>
      <c r="K758" s="32" t="s">
        <v>129</v>
      </c>
      <c r="L758" s="32" t="s">
        <v>30</v>
      </c>
      <c r="M758" s="32" t="s">
        <v>30</v>
      </c>
      <c r="N758" s="40">
        <v>2004</v>
      </c>
      <c r="O758" s="32">
        <f>VLOOKUP(Data!N1472, CPI!$A$2:$B$112, 2, 0)</f>
        <v>207.3</v>
      </c>
      <c r="P758" s="32" t="s">
        <v>238</v>
      </c>
      <c r="Q758" s="32" t="s">
        <v>239</v>
      </c>
      <c r="R758" s="32" t="s">
        <v>1220</v>
      </c>
      <c r="S758" s="32">
        <v>223</v>
      </c>
      <c r="T758" s="32" t="s">
        <v>1228</v>
      </c>
      <c r="Z758" s="38" t="s">
        <v>347</v>
      </c>
      <c r="AA758" s="35" t="s">
        <v>1412</v>
      </c>
      <c r="AB758" s="32" t="s">
        <v>30</v>
      </c>
      <c r="AH758" s="32" t="s">
        <v>397</v>
      </c>
      <c r="AI758" s="32" t="s">
        <v>2268</v>
      </c>
      <c r="AK758" s="40" t="s">
        <v>1230</v>
      </c>
      <c r="AL758" s="32">
        <v>2008</v>
      </c>
      <c r="AM758" s="32" t="s">
        <v>1231</v>
      </c>
      <c r="AN758" s="32" t="s">
        <v>1232</v>
      </c>
      <c r="AO758" s="38" t="s">
        <v>1233</v>
      </c>
      <c r="AP758" s="35" t="s">
        <v>396</v>
      </c>
    </row>
    <row r="759" spans="1:42" x14ac:dyDescent="0.2">
      <c r="A759" s="40">
        <v>75</v>
      </c>
      <c r="B759" s="40">
        <v>758</v>
      </c>
      <c r="C759" s="40" t="s">
        <v>241</v>
      </c>
      <c r="D759" s="38" t="s">
        <v>240</v>
      </c>
      <c r="E759" s="32" t="s">
        <v>2186</v>
      </c>
      <c r="F759" s="32" t="s">
        <v>21</v>
      </c>
      <c r="G759" s="38" t="s">
        <v>163</v>
      </c>
      <c r="H759" s="32" t="s">
        <v>151</v>
      </c>
      <c r="I759" s="32" t="s">
        <v>61</v>
      </c>
      <c r="J759" s="32" t="s">
        <v>1229</v>
      </c>
      <c r="K759" s="32" t="s">
        <v>129</v>
      </c>
      <c r="L759" s="32" t="s">
        <v>30</v>
      </c>
      <c r="M759" s="32" t="s">
        <v>30</v>
      </c>
      <c r="N759" s="40">
        <v>2004</v>
      </c>
      <c r="O759" s="32">
        <f>VLOOKUP(Data!N1473, CPI!$A$2:$B$112, 2, 0)</f>
        <v>237.017</v>
      </c>
      <c r="P759" s="32" t="s">
        <v>238</v>
      </c>
      <c r="Q759" s="32" t="s">
        <v>239</v>
      </c>
      <c r="R759" s="32" t="s">
        <v>1221</v>
      </c>
      <c r="S759" s="32">
        <v>281</v>
      </c>
      <c r="T759" s="32" t="s">
        <v>1228</v>
      </c>
      <c r="Z759" s="38" t="s">
        <v>347</v>
      </c>
      <c r="AA759" s="35" t="s">
        <v>1412</v>
      </c>
      <c r="AB759" s="32" t="s">
        <v>30</v>
      </c>
      <c r="AH759" s="32" t="s">
        <v>397</v>
      </c>
      <c r="AI759" s="32" t="s">
        <v>2268</v>
      </c>
      <c r="AK759" s="40" t="s">
        <v>1230</v>
      </c>
      <c r="AL759" s="32">
        <v>2008</v>
      </c>
      <c r="AM759" s="32" t="s">
        <v>1231</v>
      </c>
      <c r="AN759" s="32" t="s">
        <v>1232</v>
      </c>
      <c r="AO759" s="38" t="s">
        <v>1233</v>
      </c>
      <c r="AP759" s="35" t="s">
        <v>396</v>
      </c>
    </row>
    <row r="760" spans="1:42" x14ac:dyDescent="0.2">
      <c r="A760" s="40">
        <v>75</v>
      </c>
      <c r="B760" s="40">
        <v>759</v>
      </c>
      <c r="C760" s="40" t="s">
        <v>241</v>
      </c>
      <c r="D760" s="38" t="s">
        <v>240</v>
      </c>
      <c r="E760" s="32" t="s">
        <v>2186</v>
      </c>
      <c r="F760" s="32" t="s">
        <v>21</v>
      </c>
      <c r="G760" s="38" t="s">
        <v>163</v>
      </c>
      <c r="H760" s="32" t="s">
        <v>151</v>
      </c>
      <c r="I760" s="32" t="s">
        <v>61</v>
      </c>
      <c r="J760" s="32" t="s">
        <v>1229</v>
      </c>
      <c r="K760" s="32" t="s">
        <v>129</v>
      </c>
      <c r="L760" s="32" t="s">
        <v>30</v>
      </c>
      <c r="M760" s="32" t="s">
        <v>30</v>
      </c>
      <c r="N760" s="40">
        <v>2004</v>
      </c>
      <c r="O760" s="32">
        <f>VLOOKUP(Data!N1474, CPI!$A$2:$B$112, 2, 0)</f>
        <v>214.53700000000001</v>
      </c>
      <c r="P760" s="32" t="s">
        <v>238</v>
      </c>
      <c r="Q760" s="32" t="s">
        <v>239</v>
      </c>
      <c r="R760" s="32" t="s">
        <v>1222</v>
      </c>
      <c r="S760" s="32">
        <v>284</v>
      </c>
      <c r="T760" s="32" t="s">
        <v>1228</v>
      </c>
      <c r="Z760" s="38" t="s">
        <v>347</v>
      </c>
      <c r="AA760" s="35" t="s">
        <v>1412</v>
      </c>
      <c r="AB760" s="32" t="s">
        <v>30</v>
      </c>
      <c r="AH760" s="32" t="s">
        <v>397</v>
      </c>
      <c r="AI760" s="32" t="s">
        <v>2268</v>
      </c>
      <c r="AK760" s="40" t="s">
        <v>1230</v>
      </c>
      <c r="AL760" s="32">
        <v>2008</v>
      </c>
      <c r="AM760" s="32" t="s">
        <v>1231</v>
      </c>
      <c r="AN760" s="32" t="s">
        <v>1232</v>
      </c>
      <c r="AO760" s="38" t="s">
        <v>1233</v>
      </c>
      <c r="AP760" s="35" t="s">
        <v>396</v>
      </c>
    </row>
    <row r="761" spans="1:42" x14ac:dyDescent="0.2">
      <c r="A761" s="40">
        <v>75</v>
      </c>
      <c r="B761" s="40">
        <v>760</v>
      </c>
      <c r="C761" s="40" t="s">
        <v>241</v>
      </c>
      <c r="D761" s="38" t="s">
        <v>240</v>
      </c>
      <c r="E761" s="32" t="s">
        <v>2186</v>
      </c>
      <c r="F761" s="32" t="s">
        <v>21</v>
      </c>
      <c r="G761" s="38" t="s">
        <v>163</v>
      </c>
      <c r="H761" s="32" t="s">
        <v>151</v>
      </c>
      <c r="I761" s="32" t="s">
        <v>61</v>
      </c>
      <c r="J761" s="32" t="s">
        <v>1229</v>
      </c>
      <c r="K761" s="32" t="s">
        <v>129</v>
      </c>
      <c r="L761" s="32" t="s">
        <v>30</v>
      </c>
      <c r="M761" s="32" t="s">
        <v>30</v>
      </c>
      <c r="N761" s="40">
        <v>2004</v>
      </c>
      <c r="O761" s="32">
        <f>VLOOKUP(Data!N1475, CPI!$A$2:$B$112, 2, 0)</f>
        <v>214.53700000000001</v>
      </c>
      <c r="P761" s="32" t="s">
        <v>238</v>
      </c>
      <c r="Q761" s="32" t="s">
        <v>239</v>
      </c>
      <c r="R761" s="32" t="s">
        <v>1223</v>
      </c>
      <c r="S761" s="32">
        <v>240</v>
      </c>
      <c r="T761" s="32" t="s">
        <v>1228</v>
      </c>
      <c r="Z761" s="38" t="s">
        <v>347</v>
      </c>
      <c r="AA761" s="35" t="s">
        <v>1412</v>
      </c>
      <c r="AB761" s="32" t="s">
        <v>30</v>
      </c>
      <c r="AH761" s="32" t="s">
        <v>397</v>
      </c>
      <c r="AI761" s="32" t="s">
        <v>2268</v>
      </c>
      <c r="AK761" s="40" t="s">
        <v>1230</v>
      </c>
      <c r="AL761" s="32">
        <v>2008</v>
      </c>
      <c r="AM761" s="32" t="s">
        <v>1231</v>
      </c>
      <c r="AN761" s="32" t="s">
        <v>1232</v>
      </c>
      <c r="AO761" s="38" t="s">
        <v>1233</v>
      </c>
      <c r="AP761" s="35" t="s">
        <v>396</v>
      </c>
    </row>
    <row r="762" spans="1:42" x14ac:dyDescent="0.2">
      <c r="A762" s="40">
        <v>75</v>
      </c>
      <c r="B762" s="40">
        <v>761</v>
      </c>
      <c r="C762" s="40" t="s">
        <v>241</v>
      </c>
      <c r="D762" s="38" t="s">
        <v>240</v>
      </c>
      <c r="E762" s="32" t="s">
        <v>2186</v>
      </c>
      <c r="F762" s="32" t="s">
        <v>21</v>
      </c>
      <c r="G762" s="38" t="s">
        <v>163</v>
      </c>
      <c r="H762" s="32" t="s">
        <v>151</v>
      </c>
      <c r="I762" s="32" t="s">
        <v>61</v>
      </c>
      <c r="J762" s="32" t="s">
        <v>1229</v>
      </c>
      <c r="K762" s="32" t="s">
        <v>129</v>
      </c>
      <c r="L762" s="32" t="s">
        <v>30</v>
      </c>
      <c r="M762" s="32" t="s">
        <v>30</v>
      </c>
      <c r="N762" s="40">
        <v>2004</v>
      </c>
      <c r="O762" s="32">
        <f>VLOOKUP(Data!N1476, CPI!$A$2:$B$112, 2, 0)</f>
        <v>184</v>
      </c>
      <c r="P762" s="32" t="s">
        <v>238</v>
      </c>
      <c r="Q762" s="32" t="s">
        <v>239</v>
      </c>
      <c r="R762" s="32" t="s">
        <v>1224</v>
      </c>
      <c r="S762" s="32">
        <v>179</v>
      </c>
      <c r="T762" s="32" t="s">
        <v>1228</v>
      </c>
      <c r="Z762" s="38" t="s">
        <v>347</v>
      </c>
      <c r="AA762" s="35" t="s">
        <v>1412</v>
      </c>
      <c r="AB762" s="32" t="s">
        <v>30</v>
      </c>
      <c r="AH762" s="32" t="s">
        <v>397</v>
      </c>
      <c r="AI762" s="32" t="s">
        <v>2268</v>
      </c>
      <c r="AK762" s="40" t="s">
        <v>1230</v>
      </c>
      <c r="AL762" s="32">
        <v>2008</v>
      </c>
      <c r="AM762" s="32" t="s">
        <v>1231</v>
      </c>
      <c r="AN762" s="32" t="s">
        <v>1232</v>
      </c>
      <c r="AO762" s="38" t="s">
        <v>1233</v>
      </c>
      <c r="AP762" s="35" t="s">
        <v>396</v>
      </c>
    </row>
    <row r="763" spans="1:42" x14ac:dyDescent="0.2">
      <c r="A763" s="40">
        <v>75</v>
      </c>
      <c r="B763" s="40">
        <v>762</v>
      </c>
      <c r="C763" s="40" t="s">
        <v>241</v>
      </c>
      <c r="D763" s="38" t="s">
        <v>240</v>
      </c>
      <c r="E763" s="32" t="s">
        <v>2186</v>
      </c>
      <c r="F763" s="32" t="s">
        <v>21</v>
      </c>
      <c r="G763" s="38" t="s">
        <v>163</v>
      </c>
      <c r="H763" s="32" t="s">
        <v>151</v>
      </c>
      <c r="I763" s="32" t="s">
        <v>61</v>
      </c>
      <c r="J763" s="32" t="s">
        <v>1229</v>
      </c>
      <c r="K763" s="32" t="s">
        <v>129</v>
      </c>
      <c r="L763" s="32" t="s">
        <v>30</v>
      </c>
      <c r="M763" s="32" t="s">
        <v>30</v>
      </c>
      <c r="N763" s="40">
        <v>2004</v>
      </c>
      <c r="O763" s="32">
        <f>VLOOKUP(Data!N1477, CPI!$A$2:$B$112, 2, 0)</f>
        <v>184</v>
      </c>
      <c r="P763" s="32" t="s">
        <v>238</v>
      </c>
      <c r="Q763" s="32" t="s">
        <v>239</v>
      </c>
      <c r="R763" s="32" t="s">
        <v>1225</v>
      </c>
      <c r="S763" s="32">
        <v>121</v>
      </c>
      <c r="T763" s="32" t="s">
        <v>1228</v>
      </c>
      <c r="Z763" s="38" t="s">
        <v>347</v>
      </c>
      <c r="AA763" s="35" t="s">
        <v>1412</v>
      </c>
      <c r="AB763" s="32" t="s">
        <v>30</v>
      </c>
      <c r="AH763" s="32" t="s">
        <v>397</v>
      </c>
      <c r="AI763" s="32" t="s">
        <v>2268</v>
      </c>
      <c r="AK763" s="40" t="s">
        <v>1230</v>
      </c>
      <c r="AL763" s="32">
        <v>2008</v>
      </c>
      <c r="AM763" s="32" t="s">
        <v>1231</v>
      </c>
      <c r="AN763" s="32" t="s">
        <v>1232</v>
      </c>
      <c r="AO763" s="38" t="s">
        <v>1233</v>
      </c>
      <c r="AP763" s="35" t="s">
        <v>396</v>
      </c>
    </row>
    <row r="764" spans="1:42" x14ac:dyDescent="0.2">
      <c r="A764" s="40">
        <v>75</v>
      </c>
      <c r="B764" s="40">
        <v>763</v>
      </c>
      <c r="C764" s="40" t="s">
        <v>241</v>
      </c>
      <c r="D764" s="38" t="s">
        <v>240</v>
      </c>
      <c r="E764" s="32" t="s">
        <v>2186</v>
      </c>
      <c r="F764" s="32" t="s">
        <v>21</v>
      </c>
      <c r="G764" s="38" t="s">
        <v>163</v>
      </c>
      <c r="H764" s="32" t="s">
        <v>151</v>
      </c>
      <c r="I764" s="32" t="s">
        <v>61</v>
      </c>
      <c r="J764" s="32" t="s">
        <v>1229</v>
      </c>
      <c r="K764" s="32" t="s">
        <v>129</v>
      </c>
      <c r="L764" s="32" t="s">
        <v>30</v>
      </c>
      <c r="M764" s="32" t="s">
        <v>30</v>
      </c>
      <c r="N764" s="40">
        <v>2004</v>
      </c>
      <c r="O764" s="32">
        <f>VLOOKUP(Data!N1478, CPI!$A$2:$B$112, 2, 0)</f>
        <v>214.53700000000001</v>
      </c>
      <c r="P764" s="32" t="s">
        <v>238</v>
      </c>
      <c r="Q764" s="32" t="s">
        <v>239</v>
      </c>
      <c r="R764" s="32" t="s">
        <v>1226</v>
      </c>
      <c r="S764" s="32">
        <v>171</v>
      </c>
      <c r="T764" s="32" t="s">
        <v>1228</v>
      </c>
      <c r="Z764" s="38" t="s">
        <v>347</v>
      </c>
      <c r="AA764" s="35" t="s">
        <v>1412</v>
      </c>
      <c r="AB764" s="32" t="s">
        <v>30</v>
      </c>
      <c r="AH764" s="32" t="s">
        <v>397</v>
      </c>
      <c r="AI764" s="32" t="s">
        <v>2268</v>
      </c>
      <c r="AK764" s="40" t="s">
        <v>1230</v>
      </c>
      <c r="AL764" s="32">
        <v>2008</v>
      </c>
      <c r="AM764" s="32" t="s">
        <v>1231</v>
      </c>
      <c r="AN764" s="32" t="s">
        <v>1232</v>
      </c>
      <c r="AO764" s="38" t="s">
        <v>1233</v>
      </c>
      <c r="AP764" s="35" t="s">
        <v>396</v>
      </c>
    </row>
    <row r="765" spans="1:42" x14ac:dyDescent="0.2">
      <c r="A765" s="40">
        <v>75</v>
      </c>
      <c r="B765" s="40">
        <v>764</v>
      </c>
      <c r="C765" s="40" t="s">
        <v>241</v>
      </c>
      <c r="D765" s="38" t="s">
        <v>240</v>
      </c>
      <c r="E765" s="32" t="s">
        <v>2186</v>
      </c>
      <c r="F765" s="32" t="s">
        <v>21</v>
      </c>
      <c r="G765" s="38" t="s">
        <v>163</v>
      </c>
      <c r="H765" s="32" t="s">
        <v>151</v>
      </c>
      <c r="I765" s="32" t="s">
        <v>61</v>
      </c>
      <c r="J765" s="32" t="s">
        <v>1229</v>
      </c>
      <c r="K765" s="32" t="s">
        <v>129</v>
      </c>
      <c r="L765" s="32" t="s">
        <v>30</v>
      </c>
      <c r="M765" s="32" t="s">
        <v>30</v>
      </c>
      <c r="N765" s="40">
        <v>2004</v>
      </c>
      <c r="O765" s="32">
        <f>VLOOKUP(Data!N1479, CPI!$A$2:$B$112, 2, 0)</f>
        <v>214.53700000000001</v>
      </c>
      <c r="P765" s="32" t="s">
        <v>238</v>
      </c>
      <c r="Q765" s="32" t="s">
        <v>239</v>
      </c>
      <c r="R765" s="32" t="s">
        <v>1227</v>
      </c>
      <c r="S765" s="32">
        <v>179</v>
      </c>
      <c r="T765" s="32" t="s">
        <v>1228</v>
      </c>
      <c r="Z765" s="38" t="s">
        <v>347</v>
      </c>
      <c r="AA765" s="35" t="s">
        <v>1412</v>
      </c>
      <c r="AB765" s="32" t="s">
        <v>30</v>
      </c>
      <c r="AH765" s="32" t="s">
        <v>397</v>
      </c>
      <c r="AI765" s="32" t="s">
        <v>2268</v>
      </c>
      <c r="AK765" s="40" t="s">
        <v>1230</v>
      </c>
      <c r="AL765" s="32">
        <v>2008</v>
      </c>
      <c r="AM765" s="32" t="s">
        <v>1231</v>
      </c>
      <c r="AN765" s="32" t="s">
        <v>1232</v>
      </c>
      <c r="AO765" s="38" t="s">
        <v>1233</v>
      </c>
      <c r="AP765" s="35" t="s">
        <v>396</v>
      </c>
    </row>
    <row r="766" spans="1:42" x14ac:dyDescent="0.2">
      <c r="A766" s="40">
        <v>76</v>
      </c>
      <c r="B766" s="40">
        <v>765</v>
      </c>
      <c r="C766" s="40" t="s">
        <v>119</v>
      </c>
      <c r="D766" s="38" t="s">
        <v>128</v>
      </c>
      <c r="E766" s="32" t="s">
        <v>2185</v>
      </c>
      <c r="F766" s="32" t="s">
        <v>2894</v>
      </c>
      <c r="G766" s="38" t="s">
        <v>142</v>
      </c>
      <c r="H766" s="32" t="s">
        <v>115</v>
      </c>
      <c r="I766" s="32" t="s">
        <v>243</v>
      </c>
      <c r="J766" s="32" t="s">
        <v>1234</v>
      </c>
      <c r="K766" s="32" t="s">
        <v>1513</v>
      </c>
      <c r="L766" s="32" t="s">
        <v>30</v>
      </c>
      <c r="M766" s="32" t="s">
        <v>30</v>
      </c>
      <c r="N766" s="40">
        <v>2016</v>
      </c>
      <c r="O766" s="32">
        <f>VLOOKUP(Data!N602, CPI!$A$2:$B$112, 2, 0)</f>
        <v>195.3</v>
      </c>
      <c r="P766" s="32" t="s">
        <v>7</v>
      </c>
      <c r="Q766" s="32" t="s">
        <v>250</v>
      </c>
      <c r="R766" s="32" t="s">
        <v>1235</v>
      </c>
      <c r="S766" s="32">
        <v>180</v>
      </c>
      <c r="T766" s="32" t="s">
        <v>316</v>
      </c>
      <c r="U766" s="32">
        <v>180</v>
      </c>
      <c r="V766" s="32" t="s">
        <v>316</v>
      </c>
      <c r="X766" s="32">
        <f t="shared" ref="X766:X784" si="43">U766</f>
        <v>180</v>
      </c>
      <c r="Y766" s="32">
        <f>(CPI!$B$112/O766)*X766</f>
        <v>280.80806451612904</v>
      </c>
      <c r="Z766" s="38" t="s">
        <v>262</v>
      </c>
      <c r="AA766" s="35" t="s">
        <v>1445</v>
      </c>
      <c r="AB766" s="32">
        <v>10048</v>
      </c>
      <c r="AC766" s="32" t="s">
        <v>2517</v>
      </c>
      <c r="AH766" s="32" t="s">
        <v>411</v>
      </c>
      <c r="AK766" s="40" t="s">
        <v>1253</v>
      </c>
      <c r="AL766" s="32">
        <v>2017</v>
      </c>
      <c r="AM766" s="32" t="s">
        <v>1254</v>
      </c>
      <c r="AN766" s="32" t="s">
        <v>1255</v>
      </c>
      <c r="AO766" s="38" t="s">
        <v>1256</v>
      </c>
      <c r="AP766" s="35" t="s">
        <v>396</v>
      </c>
    </row>
    <row r="767" spans="1:42" x14ac:dyDescent="0.2">
      <c r="A767" s="40">
        <v>76</v>
      </c>
      <c r="B767" s="40">
        <v>766</v>
      </c>
      <c r="C767" s="40" t="s">
        <v>119</v>
      </c>
      <c r="D767" s="38" t="s">
        <v>128</v>
      </c>
      <c r="E767" s="32" t="s">
        <v>2185</v>
      </c>
      <c r="F767" s="32" t="s">
        <v>2894</v>
      </c>
      <c r="G767" s="38" t="s">
        <v>142</v>
      </c>
      <c r="H767" s="32" t="s">
        <v>115</v>
      </c>
      <c r="I767" s="32" t="s">
        <v>243</v>
      </c>
      <c r="J767" s="32" t="s">
        <v>1234</v>
      </c>
      <c r="K767" s="32" t="s">
        <v>1513</v>
      </c>
      <c r="L767" s="32" t="s">
        <v>30</v>
      </c>
      <c r="M767" s="32" t="s">
        <v>30</v>
      </c>
      <c r="N767" s="40">
        <v>2016</v>
      </c>
      <c r="O767" s="32">
        <f>VLOOKUP(Data!N603, CPI!$A$2:$B$112, 2, 0)</f>
        <v>195.3</v>
      </c>
      <c r="P767" s="32" t="s">
        <v>7</v>
      </c>
      <c r="Q767" s="32" t="s">
        <v>250</v>
      </c>
      <c r="R767" s="32" t="s">
        <v>1236</v>
      </c>
      <c r="S767" s="32">
        <v>152.97</v>
      </c>
      <c r="T767" s="32" t="s">
        <v>316</v>
      </c>
      <c r="U767" s="32">
        <v>152.97</v>
      </c>
      <c r="V767" s="32" t="s">
        <v>316</v>
      </c>
      <c r="X767" s="32">
        <f t="shared" si="43"/>
        <v>152.97</v>
      </c>
      <c r="Y767" s="32">
        <f>(CPI!$B$112/O767)*X767</f>
        <v>238.64005349462366</v>
      </c>
      <c r="Z767" s="38" t="s">
        <v>262</v>
      </c>
      <c r="AA767" s="35" t="s">
        <v>1445</v>
      </c>
      <c r="AB767" s="32">
        <v>10048</v>
      </c>
      <c r="AC767" s="32" t="s">
        <v>2517</v>
      </c>
      <c r="AH767" s="32" t="s">
        <v>411</v>
      </c>
      <c r="AK767" s="40" t="s">
        <v>1253</v>
      </c>
      <c r="AL767" s="32">
        <v>2017</v>
      </c>
      <c r="AM767" s="32" t="s">
        <v>1254</v>
      </c>
      <c r="AN767" s="32" t="s">
        <v>1255</v>
      </c>
      <c r="AO767" s="38" t="s">
        <v>1256</v>
      </c>
      <c r="AP767" s="35" t="s">
        <v>396</v>
      </c>
    </row>
    <row r="768" spans="1:42" x14ac:dyDescent="0.2">
      <c r="A768" s="40">
        <v>76</v>
      </c>
      <c r="B768" s="40">
        <v>767</v>
      </c>
      <c r="C768" s="40" t="s">
        <v>119</v>
      </c>
      <c r="D768" s="38" t="s">
        <v>128</v>
      </c>
      <c r="E768" s="32" t="s">
        <v>2185</v>
      </c>
      <c r="F768" s="32" t="s">
        <v>2894</v>
      </c>
      <c r="G768" s="38" t="s">
        <v>142</v>
      </c>
      <c r="H768" s="32" t="s">
        <v>115</v>
      </c>
      <c r="I768" s="32" t="s">
        <v>243</v>
      </c>
      <c r="J768" s="32" t="s">
        <v>1234</v>
      </c>
      <c r="K768" s="32" t="s">
        <v>1513</v>
      </c>
      <c r="L768" s="32" t="s">
        <v>30</v>
      </c>
      <c r="M768" s="32" t="s">
        <v>30</v>
      </c>
      <c r="N768" s="40">
        <v>2016</v>
      </c>
      <c r="O768" s="32">
        <f>VLOOKUP(Data!N604, CPI!$A$2:$B$112, 2, 0)</f>
        <v>195.3</v>
      </c>
      <c r="P768" s="32" t="s">
        <v>7</v>
      </c>
      <c r="Q768" s="32" t="s">
        <v>250</v>
      </c>
      <c r="R768" s="32" t="s">
        <v>1237</v>
      </c>
      <c r="S768" s="32">
        <v>129.81</v>
      </c>
      <c r="T768" s="32" t="s">
        <v>316</v>
      </c>
      <c r="U768" s="32">
        <v>129.81</v>
      </c>
      <c r="V768" s="32" t="s">
        <v>316</v>
      </c>
      <c r="X768" s="32">
        <f t="shared" si="43"/>
        <v>129.81</v>
      </c>
      <c r="Y768" s="32">
        <f>(CPI!$B$112/O768)*X768</f>
        <v>202.50941586021506</v>
      </c>
      <c r="Z768" s="38" t="s">
        <v>262</v>
      </c>
      <c r="AA768" s="35" t="s">
        <v>1445</v>
      </c>
      <c r="AB768" s="32">
        <v>10048</v>
      </c>
      <c r="AC768" s="32" t="s">
        <v>2517</v>
      </c>
      <c r="AH768" s="32" t="s">
        <v>411</v>
      </c>
      <c r="AK768" s="40" t="s">
        <v>1253</v>
      </c>
      <c r="AL768" s="32">
        <v>2017</v>
      </c>
      <c r="AM768" s="32" t="s">
        <v>1254</v>
      </c>
      <c r="AN768" s="32" t="s">
        <v>1255</v>
      </c>
      <c r="AO768" s="38" t="s">
        <v>1256</v>
      </c>
      <c r="AP768" s="35" t="s">
        <v>396</v>
      </c>
    </row>
    <row r="769" spans="1:42" x14ac:dyDescent="0.2">
      <c r="A769" s="40">
        <v>76</v>
      </c>
      <c r="B769" s="40">
        <v>768</v>
      </c>
      <c r="C769" s="40" t="s">
        <v>119</v>
      </c>
      <c r="D769" s="38" t="s">
        <v>128</v>
      </c>
      <c r="E769" s="32" t="s">
        <v>2185</v>
      </c>
      <c r="F769" s="32" t="s">
        <v>2894</v>
      </c>
      <c r="G769" s="38" t="s">
        <v>142</v>
      </c>
      <c r="H769" s="32" t="s">
        <v>115</v>
      </c>
      <c r="I769" s="32" t="s">
        <v>243</v>
      </c>
      <c r="J769" s="32" t="s">
        <v>1234</v>
      </c>
      <c r="K769" s="32" t="s">
        <v>1513</v>
      </c>
      <c r="L769" s="32" t="s">
        <v>30</v>
      </c>
      <c r="M769" s="32" t="s">
        <v>30</v>
      </c>
      <c r="N769" s="40">
        <v>2016</v>
      </c>
      <c r="O769" s="32">
        <f>VLOOKUP(Data!N605, CPI!$A$2:$B$112, 2, 0)</f>
        <v>195.3</v>
      </c>
      <c r="P769" s="32" t="s">
        <v>7</v>
      </c>
      <c r="Q769" s="32" t="s">
        <v>250</v>
      </c>
      <c r="R769" s="32" t="s">
        <v>1238</v>
      </c>
      <c r="S769" s="32">
        <v>104.9</v>
      </c>
      <c r="T769" s="32" t="s">
        <v>316</v>
      </c>
      <c r="U769" s="32">
        <v>104.9</v>
      </c>
      <c r="V769" s="32" t="s">
        <v>316</v>
      </c>
      <c r="X769" s="32">
        <f t="shared" si="43"/>
        <v>104.9</v>
      </c>
      <c r="Y769" s="32">
        <f>(CPI!$B$112/O769)*X769</f>
        <v>163.64869982078852</v>
      </c>
      <c r="Z769" s="38" t="s">
        <v>262</v>
      </c>
      <c r="AA769" s="35" t="s">
        <v>1445</v>
      </c>
      <c r="AB769" s="32">
        <v>10048</v>
      </c>
      <c r="AC769" s="32" t="s">
        <v>2517</v>
      </c>
      <c r="AH769" s="32" t="s">
        <v>411</v>
      </c>
      <c r="AK769" s="40" t="s">
        <v>1253</v>
      </c>
      <c r="AL769" s="32">
        <v>2017</v>
      </c>
      <c r="AM769" s="32" t="s">
        <v>1254</v>
      </c>
      <c r="AN769" s="32" t="s">
        <v>1255</v>
      </c>
      <c r="AO769" s="38" t="s">
        <v>1256</v>
      </c>
      <c r="AP769" s="35" t="s">
        <v>396</v>
      </c>
    </row>
    <row r="770" spans="1:42" x14ac:dyDescent="0.2">
      <c r="A770" s="40">
        <v>76</v>
      </c>
      <c r="B770" s="40">
        <v>769</v>
      </c>
      <c r="C770" s="40" t="s">
        <v>119</v>
      </c>
      <c r="D770" s="38" t="s">
        <v>128</v>
      </c>
      <c r="E770" s="32" t="s">
        <v>2185</v>
      </c>
      <c r="F770" s="32" t="s">
        <v>2894</v>
      </c>
      <c r="G770" s="38" t="s">
        <v>142</v>
      </c>
      <c r="H770" s="32" t="s">
        <v>115</v>
      </c>
      <c r="I770" s="32" t="s">
        <v>243</v>
      </c>
      <c r="J770" s="32" t="s">
        <v>1234</v>
      </c>
      <c r="K770" s="32" t="s">
        <v>1513</v>
      </c>
      <c r="L770" s="32" t="s">
        <v>30</v>
      </c>
      <c r="M770" s="32" t="s">
        <v>30</v>
      </c>
      <c r="N770" s="40">
        <v>2016</v>
      </c>
      <c r="O770" s="32">
        <f>VLOOKUP(Data!N606, CPI!$A$2:$B$112, 2, 0)</f>
        <v>195.3</v>
      </c>
      <c r="P770" s="32" t="s">
        <v>7</v>
      </c>
      <c r="Q770" s="32" t="s">
        <v>250</v>
      </c>
      <c r="R770" s="32" t="s">
        <v>1239</v>
      </c>
      <c r="S770" s="32">
        <v>83.83</v>
      </c>
      <c r="T770" s="32" t="s">
        <v>316</v>
      </c>
      <c r="U770" s="32">
        <v>83.83</v>
      </c>
      <c r="V770" s="32" t="s">
        <v>316</v>
      </c>
      <c r="X770" s="32">
        <f t="shared" si="43"/>
        <v>83.83</v>
      </c>
      <c r="Y770" s="32">
        <f>(CPI!$B$112/O770)*X770</f>
        <v>130.77855582437275</v>
      </c>
      <c r="Z770" s="38" t="s">
        <v>262</v>
      </c>
      <c r="AA770" s="35" t="s">
        <v>1445</v>
      </c>
      <c r="AB770" s="32">
        <v>10048</v>
      </c>
      <c r="AC770" s="32" t="s">
        <v>2517</v>
      </c>
      <c r="AH770" s="32" t="s">
        <v>411</v>
      </c>
      <c r="AK770" s="40" t="s">
        <v>1253</v>
      </c>
      <c r="AL770" s="32">
        <v>2017</v>
      </c>
      <c r="AM770" s="32" t="s">
        <v>1254</v>
      </c>
      <c r="AN770" s="32" t="s">
        <v>1255</v>
      </c>
      <c r="AO770" s="38" t="s">
        <v>1256</v>
      </c>
      <c r="AP770" s="35" t="s">
        <v>396</v>
      </c>
    </row>
    <row r="771" spans="1:42" x14ac:dyDescent="0.2">
      <c r="A771" s="40">
        <v>76</v>
      </c>
      <c r="B771" s="40">
        <v>770</v>
      </c>
      <c r="C771" s="40" t="s">
        <v>119</v>
      </c>
      <c r="D771" s="38" t="s">
        <v>128</v>
      </c>
      <c r="E771" s="32" t="s">
        <v>2185</v>
      </c>
      <c r="F771" s="32" t="s">
        <v>2894</v>
      </c>
      <c r="G771" s="38" t="s">
        <v>142</v>
      </c>
      <c r="H771" s="32" t="s">
        <v>115</v>
      </c>
      <c r="I771" s="32" t="s">
        <v>243</v>
      </c>
      <c r="J771" s="32" t="s">
        <v>1234</v>
      </c>
      <c r="K771" s="32" t="s">
        <v>1513</v>
      </c>
      <c r="L771" s="32" t="s">
        <v>30</v>
      </c>
      <c r="M771" s="32" t="s">
        <v>30</v>
      </c>
      <c r="N771" s="40">
        <v>2016</v>
      </c>
      <c r="O771" s="32">
        <f>VLOOKUP(Data!N607, CPI!$A$2:$B$112, 2, 0)</f>
        <v>195.3</v>
      </c>
      <c r="P771" s="32" t="s">
        <v>7</v>
      </c>
      <c r="Q771" s="32" t="s">
        <v>250</v>
      </c>
      <c r="R771" s="32" t="s">
        <v>1240</v>
      </c>
      <c r="S771" s="32">
        <v>64.73</v>
      </c>
      <c r="T771" s="32" t="s">
        <v>316</v>
      </c>
      <c r="U771" s="32">
        <v>64.73</v>
      </c>
      <c r="V771" s="32" t="s">
        <v>316</v>
      </c>
      <c r="X771" s="32">
        <f t="shared" si="43"/>
        <v>64.73</v>
      </c>
      <c r="Y771" s="32">
        <f>(CPI!$B$112/O771)*X771</f>
        <v>100.98170008960574</v>
      </c>
      <c r="Z771" s="38" t="s">
        <v>262</v>
      </c>
      <c r="AA771" s="35" t="s">
        <v>1445</v>
      </c>
      <c r="AB771" s="32">
        <v>10048</v>
      </c>
      <c r="AC771" s="32" t="s">
        <v>2517</v>
      </c>
      <c r="AH771" s="32" t="s">
        <v>411</v>
      </c>
      <c r="AK771" s="40" t="s">
        <v>1253</v>
      </c>
      <c r="AL771" s="32">
        <v>2017</v>
      </c>
      <c r="AM771" s="32" t="s">
        <v>1254</v>
      </c>
      <c r="AN771" s="32" t="s">
        <v>1255</v>
      </c>
      <c r="AO771" s="38" t="s">
        <v>1256</v>
      </c>
      <c r="AP771" s="35" t="s">
        <v>396</v>
      </c>
    </row>
    <row r="772" spans="1:42" x14ac:dyDescent="0.2">
      <c r="A772" s="40">
        <v>76</v>
      </c>
      <c r="B772" s="40">
        <v>771</v>
      </c>
      <c r="C772" s="40" t="s">
        <v>119</v>
      </c>
      <c r="D772" s="38" t="s">
        <v>128</v>
      </c>
      <c r="E772" s="32" t="s">
        <v>2185</v>
      </c>
      <c r="F772" s="32" t="s">
        <v>2894</v>
      </c>
      <c r="G772" s="38" t="s">
        <v>142</v>
      </c>
      <c r="H772" s="32" t="s">
        <v>115</v>
      </c>
      <c r="I772" s="32" t="s">
        <v>243</v>
      </c>
      <c r="J772" s="32" t="s">
        <v>1234</v>
      </c>
      <c r="K772" s="32" t="s">
        <v>1513</v>
      </c>
      <c r="L772" s="32" t="s">
        <v>30</v>
      </c>
      <c r="M772" s="32" t="s">
        <v>30</v>
      </c>
      <c r="N772" s="40">
        <v>2016</v>
      </c>
      <c r="O772" s="32">
        <f>VLOOKUP(Data!N608, CPI!$A$2:$B$112, 2, 0)</f>
        <v>195.3</v>
      </c>
      <c r="P772" s="32" t="s">
        <v>7</v>
      </c>
      <c r="Q772" s="32" t="s">
        <v>250</v>
      </c>
      <c r="R772" s="32" t="s">
        <v>1241</v>
      </c>
      <c r="S772" s="32">
        <v>47.6</v>
      </c>
      <c r="T772" s="32" t="s">
        <v>316</v>
      </c>
      <c r="U772" s="32">
        <v>47.6</v>
      </c>
      <c r="V772" s="32" t="s">
        <v>316</v>
      </c>
      <c r="X772" s="32">
        <f t="shared" si="43"/>
        <v>47.6</v>
      </c>
      <c r="Y772" s="32">
        <f>(CPI!$B$112/O772)*X772</f>
        <v>74.258132616487458</v>
      </c>
      <c r="Z772" s="38" t="s">
        <v>262</v>
      </c>
      <c r="AA772" s="35" t="s">
        <v>1445</v>
      </c>
      <c r="AB772" s="32">
        <v>10048</v>
      </c>
      <c r="AC772" s="32" t="s">
        <v>2517</v>
      </c>
      <c r="AH772" s="32" t="s">
        <v>411</v>
      </c>
      <c r="AK772" s="40" t="s">
        <v>1253</v>
      </c>
      <c r="AL772" s="32">
        <v>2017</v>
      </c>
      <c r="AM772" s="32" t="s">
        <v>1254</v>
      </c>
      <c r="AN772" s="32" t="s">
        <v>1255</v>
      </c>
      <c r="AO772" s="38" t="s">
        <v>1256</v>
      </c>
      <c r="AP772" s="35" t="s">
        <v>396</v>
      </c>
    </row>
    <row r="773" spans="1:42" x14ac:dyDescent="0.2">
      <c r="A773" s="40">
        <v>76</v>
      </c>
      <c r="B773" s="40">
        <v>772</v>
      </c>
      <c r="C773" s="40" t="s">
        <v>119</v>
      </c>
      <c r="D773" s="38" t="s">
        <v>128</v>
      </c>
      <c r="E773" s="32" t="s">
        <v>2185</v>
      </c>
      <c r="F773" s="32" t="s">
        <v>2894</v>
      </c>
      <c r="G773" s="38" t="s">
        <v>142</v>
      </c>
      <c r="H773" s="32" t="s">
        <v>115</v>
      </c>
      <c r="I773" s="32" t="s">
        <v>243</v>
      </c>
      <c r="J773" s="32" t="s">
        <v>1234</v>
      </c>
      <c r="K773" s="32" t="s">
        <v>1513</v>
      </c>
      <c r="L773" s="32" t="s">
        <v>30</v>
      </c>
      <c r="M773" s="32" t="s">
        <v>30</v>
      </c>
      <c r="N773" s="40">
        <v>2016</v>
      </c>
      <c r="O773" s="32">
        <f>VLOOKUP(Data!N609, CPI!$A$2:$B$112, 2, 0)</f>
        <v>195.3</v>
      </c>
      <c r="P773" s="32" t="s">
        <v>7</v>
      </c>
      <c r="Q773" s="32" t="s">
        <v>250</v>
      </c>
      <c r="R773" s="32" t="s">
        <v>1242</v>
      </c>
      <c r="S773" s="32">
        <v>32.44</v>
      </c>
      <c r="T773" s="32" t="s">
        <v>316</v>
      </c>
      <c r="U773" s="32">
        <v>32.44</v>
      </c>
      <c r="V773" s="32" t="s">
        <v>316</v>
      </c>
      <c r="X773" s="32">
        <f t="shared" si="43"/>
        <v>32.44</v>
      </c>
      <c r="Y773" s="32">
        <f>(CPI!$B$112/O773)*X773</f>
        <v>50.607853405017913</v>
      </c>
      <c r="Z773" s="38" t="s">
        <v>262</v>
      </c>
      <c r="AA773" s="35" t="s">
        <v>1445</v>
      </c>
      <c r="AB773" s="32">
        <v>10048</v>
      </c>
      <c r="AC773" s="32" t="s">
        <v>2517</v>
      </c>
      <c r="AH773" s="32" t="s">
        <v>411</v>
      </c>
      <c r="AK773" s="40" t="s">
        <v>1253</v>
      </c>
      <c r="AL773" s="32">
        <v>2017</v>
      </c>
      <c r="AM773" s="32" t="s">
        <v>1254</v>
      </c>
      <c r="AN773" s="32" t="s">
        <v>1255</v>
      </c>
      <c r="AO773" s="38" t="s">
        <v>1256</v>
      </c>
      <c r="AP773" s="35" t="s">
        <v>396</v>
      </c>
    </row>
    <row r="774" spans="1:42" x14ac:dyDescent="0.2">
      <c r="A774" s="40">
        <v>76</v>
      </c>
      <c r="B774" s="40">
        <v>773</v>
      </c>
      <c r="C774" s="40" t="s">
        <v>119</v>
      </c>
      <c r="D774" s="38" t="s">
        <v>128</v>
      </c>
      <c r="E774" s="32" t="s">
        <v>2185</v>
      </c>
      <c r="F774" s="32" t="s">
        <v>2894</v>
      </c>
      <c r="G774" s="38" t="s">
        <v>142</v>
      </c>
      <c r="H774" s="32" t="s">
        <v>115</v>
      </c>
      <c r="I774" s="32" t="s">
        <v>243</v>
      </c>
      <c r="J774" s="32" t="s">
        <v>1234</v>
      </c>
      <c r="K774" s="32" t="s">
        <v>1513</v>
      </c>
      <c r="L774" s="32" t="s">
        <v>30</v>
      </c>
      <c r="M774" s="32" t="s">
        <v>30</v>
      </c>
      <c r="N774" s="40">
        <v>2016</v>
      </c>
      <c r="O774" s="32">
        <f>VLOOKUP(Data!N610, CPI!$A$2:$B$112, 2, 0)</f>
        <v>195.3</v>
      </c>
      <c r="P774" s="32" t="s">
        <v>7</v>
      </c>
      <c r="Q774" s="32" t="s">
        <v>250</v>
      </c>
      <c r="R774" s="32" t="s">
        <v>1243</v>
      </c>
      <c r="S774" s="32">
        <v>18.25</v>
      </c>
      <c r="T774" s="32" t="s">
        <v>316</v>
      </c>
      <c r="U774" s="32">
        <v>18.25</v>
      </c>
      <c r="V774" s="32" t="s">
        <v>316</v>
      </c>
      <c r="X774" s="32">
        <f t="shared" si="43"/>
        <v>18.25</v>
      </c>
      <c r="Y774" s="32">
        <f>(CPI!$B$112/O774)*X774</f>
        <v>28.47081765232975</v>
      </c>
      <c r="Z774" s="38" t="s">
        <v>262</v>
      </c>
      <c r="AA774" s="35" t="s">
        <v>1445</v>
      </c>
      <c r="AB774" s="32">
        <v>10048</v>
      </c>
      <c r="AC774" s="32" t="s">
        <v>2517</v>
      </c>
      <c r="AH774" s="32" t="s">
        <v>411</v>
      </c>
      <c r="AK774" s="40" t="s">
        <v>1253</v>
      </c>
      <c r="AL774" s="32">
        <v>2017</v>
      </c>
      <c r="AM774" s="32" t="s">
        <v>1254</v>
      </c>
      <c r="AN774" s="32" t="s">
        <v>1255</v>
      </c>
      <c r="AO774" s="38" t="s">
        <v>1256</v>
      </c>
      <c r="AP774" s="35" t="s">
        <v>396</v>
      </c>
    </row>
    <row r="775" spans="1:42" x14ac:dyDescent="0.2">
      <c r="A775" s="40">
        <v>76</v>
      </c>
      <c r="B775" s="40">
        <v>774</v>
      </c>
      <c r="C775" s="40" t="s">
        <v>119</v>
      </c>
      <c r="D775" s="38" t="s">
        <v>128</v>
      </c>
      <c r="E775" s="32" t="s">
        <v>2185</v>
      </c>
      <c r="F775" s="32" t="s">
        <v>2894</v>
      </c>
      <c r="G775" s="38" t="s">
        <v>142</v>
      </c>
      <c r="H775" s="32" t="s">
        <v>115</v>
      </c>
      <c r="I775" s="32" t="s">
        <v>243</v>
      </c>
      <c r="J775" s="32" t="s">
        <v>1234</v>
      </c>
      <c r="K775" s="32" t="s">
        <v>1513</v>
      </c>
      <c r="L775" s="32" t="s">
        <v>30</v>
      </c>
      <c r="M775" s="32" t="s">
        <v>30</v>
      </c>
      <c r="N775" s="40">
        <v>2016</v>
      </c>
      <c r="O775" s="32">
        <f>VLOOKUP(Data!N611, CPI!$A$2:$B$112, 2, 0)</f>
        <v>195.3</v>
      </c>
      <c r="P775" s="32" t="s">
        <v>7</v>
      </c>
      <c r="Q775" s="32" t="s">
        <v>250</v>
      </c>
      <c r="R775" s="32" t="s">
        <v>1244</v>
      </c>
      <c r="S775" s="32">
        <v>8.0500000000000007</v>
      </c>
      <c r="T775" s="32" t="s">
        <v>316</v>
      </c>
      <c r="U775" s="32">
        <v>8.0500000000000007</v>
      </c>
      <c r="V775" s="32" t="s">
        <v>316</v>
      </c>
      <c r="X775" s="32">
        <f t="shared" si="43"/>
        <v>8.0500000000000007</v>
      </c>
      <c r="Y775" s="32">
        <f>(CPI!$B$112/O775)*X775</f>
        <v>12.558360663082437</v>
      </c>
      <c r="Z775" s="38" t="s">
        <v>262</v>
      </c>
      <c r="AA775" s="35" t="s">
        <v>1445</v>
      </c>
      <c r="AB775" s="32">
        <v>10048</v>
      </c>
      <c r="AC775" s="32" t="s">
        <v>2517</v>
      </c>
      <c r="AH775" s="32" t="s">
        <v>411</v>
      </c>
      <c r="AK775" s="40" t="s">
        <v>1253</v>
      </c>
      <c r="AL775" s="32">
        <v>2017</v>
      </c>
      <c r="AM775" s="32" t="s">
        <v>1254</v>
      </c>
      <c r="AN775" s="32" t="s">
        <v>1255</v>
      </c>
      <c r="AO775" s="38" t="s">
        <v>1256</v>
      </c>
      <c r="AP775" s="35" t="s">
        <v>396</v>
      </c>
    </row>
    <row r="776" spans="1:42" x14ac:dyDescent="0.2">
      <c r="A776" s="40">
        <v>76</v>
      </c>
      <c r="B776" s="40">
        <v>775</v>
      </c>
      <c r="C776" s="40" t="s">
        <v>119</v>
      </c>
      <c r="D776" s="38" t="s">
        <v>128</v>
      </c>
      <c r="E776" s="32" t="s">
        <v>2185</v>
      </c>
      <c r="F776" s="32" t="s">
        <v>2894</v>
      </c>
      <c r="G776" s="38" t="s">
        <v>142</v>
      </c>
      <c r="H776" s="32" t="s">
        <v>115</v>
      </c>
      <c r="I776" s="32" t="s">
        <v>243</v>
      </c>
      <c r="J776" s="32" t="s">
        <v>1234</v>
      </c>
      <c r="K776" s="32" t="s">
        <v>1513</v>
      </c>
      <c r="L776" s="32" t="s">
        <v>30</v>
      </c>
      <c r="M776" s="32" t="s">
        <v>30</v>
      </c>
      <c r="N776" s="40">
        <v>2016</v>
      </c>
      <c r="O776" s="32">
        <f>VLOOKUP(Data!N612, CPI!$A$2:$B$112, 2, 0)</f>
        <v>195.3</v>
      </c>
      <c r="P776" s="32" t="s">
        <v>7</v>
      </c>
      <c r="Q776" s="32" t="s">
        <v>250</v>
      </c>
      <c r="R776" s="32" t="s">
        <v>1245</v>
      </c>
      <c r="S776" s="32">
        <v>129.51</v>
      </c>
      <c r="T776" s="32" t="s">
        <v>316</v>
      </c>
      <c r="U776" s="32">
        <v>129.51</v>
      </c>
      <c r="V776" s="32" t="s">
        <v>316</v>
      </c>
      <c r="X776" s="32">
        <f t="shared" si="43"/>
        <v>129.51</v>
      </c>
      <c r="Y776" s="32">
        <f>(CPI!$B$112/O776)*X776</f>
        <v>202.04140241935482</v>
      </c>
      <c r="Z776" s="38" t="s">
        <v>262</v>
      </c>
      <c r="AA776" s="35" t="s">
        <v>1445</v>
      </c>
      <c r="AB776" s="32">
        <v>10048</v>
      </c>
      <c r="AC776" s="32" t="s">
        <v>2517</v>
      </c>
      <c r="AH776" s="32" t="s">
        <v>411</v>
      </c>
      <c r="AK776" s="40" t="s">
        <v>1253</v>
      </c>
      <c r="AL776" s="32">
        <v>2017</v>
      </c>
      <c r="AM776" s="32" t="s">
        <v>1254</v>
      </c>
      <c r="AN776" s="32" t="s">
        <v>1255</v>
      </c>
      <c r="AO776" s="38" t="s">
        <v>1256</v>
      </c>
      <c r="AP776" s="35" t="s">
        <v>396</v>
      </c>
    </row>
    <row r="777" spans="1:42" x14ac:dyDescent="0.2">
      <c r="A777" s="40">
        <v>76</v>
      </c>
      <c r="B777" s="40">
        <v>776</v>
      </c>
      <c r="C777" s="40" t="s">
        <v>119</v>
      </c>
      <c r="D777" s="38" t="s">
        <v>128</v>
      </c>
      <c r="E777" s="32" t="s">
        <v>2185</v>
      </c>
      <c r="F777" s="32" t="s">
        <v>2894</v>
      </c>
      <c r="G777" s="38" t="s">
        <v>142</v>
      </c>
      <c r="H777" s="32" t="s">
        <v>115</v>
      </c>
      <c r="I777" s="32" t="s">
        <v>243</v>
      </c>
      <c r="J777" s="32" t="s">
        <v>1234</v>
      </c>
      <c r="K777" s="32" t="s">
        <v>1513</v>
      </c>
      <c r="L777" s="32" t="s">
        <v>30</v>
      </c>
      <c r="M777" s="32" t="s">
        <v>30</v>
      </c>
      <c r="N777" s="40">
        <v>2016</v>
      </c>
      <c r="O777" s="32">
        <f>VLOOKUP(Data!N613, CPI!$A$2:$B$112, 2, 0)</f>
        <v>195.3</v>
      </c>
      <c r="P777" s="32" t="s">
        <v>7</v>
      </c>
      <c r="Q777" s="32" t="s">
        <v>250</v>
      </c>
      <c r="R777" s="32" t="s">
        <v>1246</v>
      </c>
      <c r="S777" s="32">
        <v>99.44</v>
      </c>
      <c r="T777" s="32" t="s">
        <v>316</v>
      </c>
      <c r="U777" s="32">
        <v>99.44</v>
      </c>
      <c r="V777" s="32" t="s">
        <v>316</v>
      </c>
      <c r="X777" s="32">
        <f t="shared" si="43"/>
        <v>99.44</v>
      </c>
      <c r="Y777" s="32">
        <f>(CPI!$B$112/O777)*X777</f>
        <v>155.1308551971326</v>
      </c>
      <c r="Z777" s="38" t="s">
        <v>262</v>
      </c>
      <c r="AA777" s="35" t="s">
        <v>1445</v>
      </c>
      <c r="AB777" s="32">
        <v>10048</v>
      </c>
      <c r="AC777" s="32" t="s">
        <v>2517</v>
      </c>
      <c r="AH777" s="32" t="s">
        <v>411</v>
      </c>
      <c r="AK777" s="40" t="s">
        <v>1253</v>
      </c>
      <c r="AL777" s="32">
        <v>2017</v>
      </c>
      <c r="AM777" s="32" t="s">
        <v>1254</v>
      </c>
      <c r="AN777" s="32" t="s">
        <v>1255</v>
      </c>
      <c r="AO777" s="38" t="s">
        <v>1256</v>
      </c>
      <c r="AP777" s="35" t="s">
        <v>396</v>
      </c>
    </row>
    <row r="778" spans="1:42" x14ac:dyDescent="0.2">
      <c r="A778" s="40">
        <v>76</v>
      </c>
      <c r="B778" s="40">
        <v>777</v>
      </c>
      <c r="C778" s="40" t="s">
        <v>119</v>
      </c>
      <c r="D778" s="38" t="s">
        <v>128</v>
      </c>
      <c r="E778" s="32" t="s">
        <v>2185</v>
      </c>
      <c r="F778" s="32" t="s">
        <v>2894</v>
      </c>
      <c r="G778" s="38" t="s">
        <v>142</v>
      </c>
      <c r="H778" s="32" t="s">
        <v>115</v>
      </c>
      <c r="I778" s="32" t="s">
        <v>243</v>
      </c>
      <c r="J778" s="32" t="s">
        <v>1234</v>
      </c>
      <c r="K778" s="32" t="s">
        <v>1513</v>
      </c>
      <c r="L778" s="32" t="s">
        <v>30</v>
      </c>
      <c r="M778" s="32" t="s">
        <v>30</v>
      </c>
      <c r="N778" s="40">
        <v>2016</v>
      </c>
      <c r="O778" s="32">
        <f>VLOOKUP(Data!N614, CPI!$A$2:$B$112, 2, 0)</f>
        <v>195.3</v>
      </c>
      <c r="P778" s="32" t="s">
        <v>7</v>
      </c>
      <c r="Q778" s="32" t="s">
        <v>250</v>
      </c>
      <c r="R778" s="32" t="s">
        <v>1247</v>
      </c>
      <c r="S778" s="32">
        <v>75.28</v>
      </c>
      <c r="T778" s="32" t="s">
        <v>316</v>
      </c>
      <c r="U778" s="32">
        <v>75.28</v>
      </c>
      <c r="V778" s="32" t="s">
        <v>316</v>
      </c>
      <c r="X778" s="32">
        <f t="shared" si="43"/>
        <v>75.28</v>
      </c>
      <c r="Y778" s="32">
        <f>(CPI!$B$112/O778)*X778</f>
        <v>117.44017275985662</v>
      </c>
      <c r="Z778" s="38" t="s">
        <v>262</v>
      </c>
      <c r="AA778" s="35" t="s">
        <v>1445</v>
      </c>
      <c r="AB778" s="32">
        <v>10048</v>
      </c>
      <c r="AC778" s="32" t="s">
        <v>2517</v>
      </c>
      <c r="AH778" s="32" t="s">
        <v>411</v>
      </c>
      <c r="AK778" s="40" t="s">
        <v>1253</v>
      </c>
      <c r="AL778" s="32">
        <v>2017</v>
      </c>
      <c r="AM778" s="32" t="s">
        <v>1254</v>
      </c>
      <c r="AN778" s="32" t="s">
        <v>1255</v>
      </c>
      <c r="AO778" s="38" t="s">
        <v>1256</v>
      </c>
      <c r="AP778" s="35" t="s">
        <v>396</v>
      </c>
    </row>
    <row r="779" spans="1:42" x14ac:dyDescent="0.2">
      <c r="A779" s="40">
        <v>76</v>
      </c>
      <c r="B779" s="40">
        <v>778</v>
      </c>
      <c r="C779" s="40" t="s">
        <v>119</v>
      </c>
      <c r="D779" s="38" t="s">
        <v>128</v>
      </c>
      <c r="E779" s="32" t="s">
        <v>2185</v>
      </c>
      <c r="F779" s="32" t="s">
        <v>2894</v>
      </c>
      <c r="G779" s="38" t="s">
        <v>142</v>
      </c>
      <c r="H779" s="32" t="s">
        <v>115</v>
      </c>
      <c r="I779" s="32" t="s">
        <v>243</v>
      </c>
      <c r="J779" s="32" t="s">
        <v>1234</v>
      </c>
      <c r="K779" s="32" t="s">
        <v>1513</v>
      </c>
      <c r="L779" s="32" t="s">
        <v>30</v>
      </c>
      <c r="M779" s="32" t="s">
        <v>30</v>
      </c>
      <c r="N779" s="40">
        <v>2016</v>
      </c>
      <c r="O779" s="32">
        <f>VLOOKUP(Data!N615, CPI!$A$2:$B$112, 2, 0)</f>
        <v>195.3</v>
      </c>
      <c r="P779" s="32" t="s">
        <v>7</v>
      </c>
      <c r="Q779" s="32" t="s">
        <v>250</v>
      </c>
      <c r="R779" s="32" t="s">
        <v>1248</v>
      </c>
      <c r="S779" s="32">
        <v>51.31</v>
      </c>
      <c r="T779" s="32" t="s">
        <v>316</v>
      </c>
      <c r="U779" s="32">
        <v>51.31</v>
      </c>
      <c r="V779" s="32" t="s">
        <v>316</v>
      </c>
      <c r="X779" s="32">
        <f t="shared" si="43"/>
        <v>51.31</v>
      </c>
      <c r="Y779" s="32">
        <f>(CPI!$B$112/O779)*X779</f>
        <v>80.045898835125442</v>
      </c>
      <c r="Z779" s="38" t="s">
        <v>262</v>
      </c>
      <c r="AA779" s="35" t="s">
        <v>1445</v>
      </c>
      <c r="AB779" s="32">
        <v>10048</v>
      </c>
      <c r="AC779" s="32" t="s">
        <v>2517</v>
      </c>
      <c r="AH779" s="32" t="s">
        <v>411</v>
      </c>
      <c r="AK779" s="40" t="s">
        <v>1253</v>
      </c>
      <c r="AL779" s="32">
        <v>2017</v>
      </c>
      <c r="AM779" s="32" t="s">
        <v>1254</v>
      </c>
      <c r="AN779" s="32" t="s">
        <v>1255</v>
      </c>
      <c r="AO779" s="38" t="s">
        <v>1256</v>
      </c>
      <c r="AP779" s="35" t="s">
        <v>396</v>
      </c>
    </row>
    <row r="780" spans="1:42" x14ac:dyDescent="0.2">
      <c r="A780" s="40">
        <v>76</v>
      </c>
      <c r="B780" s="40">
        <v>779</v>
      </c>
      <c r="C780" s="40" t="s">
        <v>119</v>
      </c>
      <c r="D780" s="38" t="s">
        <v>128</v>
      </c>
      <c r="E780" s="32" t="s">
        <v>2185</v>
      </c>
      <c r="F780" s="32" t="s">
        <v>2894</v>
      </c>
      <c r="G780" s="38" t="s">
        <v>142</v>
      </c>
      <c r="H780" s="32" t="s">
        <v>115</v>
      </c>
      <c r="I780" s="32" t="s">
        <v>243</v>
      </c>
      <c r="J780" s="32" t="s">
        <v>1234</v>
      </c>
      <c r="K780" s="32" t="s">
        <v>1513</v>
      </c>
      <c r="L780" s="32" t="s">
        <v>30</v>
      </c>
      <c r="M780" s="32" t="s">
        <v>30</v>
      </c>
      <c r="N780" s="40">
        <v>2016</v>
      </c>
      <c r="O780" s="32">
        <f>VLOOKUP(Data!N616, CPI!$A$2:$B$112, 2, 0)</f>
        <v>195.3</v>
      </c>
      <c r="P780" s="32" t="s">
        <v>7</v>
      </c>
      <c r="Q780" s="32" t="s">
        <v>250</v>
      </c>
      <c r="R780" s="32" t="s">
        <v>1249</v>
      </c>
      <c r="S780" s="32">
        <v>33.17</v>
      </c>
      <c r="T780" s="32" t="s">
        <v>316</v>
      </c>
      <c r="U780" s="32">
        <v>33.17</v>
      </c>
      <c r="V780" s="32" t="s">
        <v>316</v>
      </c>
      <c r="X780" s="32">
        <f t="shared" si="43"/>
        <v>33.17</v>
      </c>
      <c r="Y780" s="32">
        <f>(CPI!$B$112/O780)*X780</f>
        <v>51.74668611111111</v>
      </c>
      <c r="Z780" s="38" t="s">
        <v>262</v>
      </c>
      <c r="AA780" s="35" t="s">
        <v>1445</v>
      </c>
      <c r="AB780" s="32">
        <v>10048</v>
      </c>
      <c r="AC780" s="32" t="s">
        <v>2517</v>
      </c>
      <c r="AH780" s="32" t="s">
        <v>411</v>
      </c>
      <c r="AK780" s="40" t="s">
        <v>1253</v>
      </c>
      <c r="AL780" s="32">
        <v>2017</v>
      </c>
      <c r="AM780" s="32" t="s">
        <v>1254</v>
      </c>
      <c r="AN780" s="32" t="s">
        <v>1255</v>
      </c>
      <c r="AO780" s="38" t="s">
        <v>1256</v>
      </c>
      <c r="AP780" s="35" t="s">
        <v>396</v>
      </c>
    </row>
    <row r="781" spans="1:42" x14ac:dyDescent="0.2">
      <c r="A781" s="40">
        <v>76</v>
      </c>
      <c r="B781" s="40">
        <v>780</v>
      </c>
      <c r="C781" s="40" t="s">
        <v>119</v>
      </c>
      <c r="D781" s="38" t="s">
        <v>128</v>
      </c>
      <c r="E781" s="32" t="s">
        <v>2185</v>
      </c>
      <c r="F781" s="32" t="s">
        <v>2894</v>
      </c>
      <c r="G781" s="38" t="s">
        <v>142</v>
      </c>
      <c r="H781" s="32" t="s">
        <v>115</v>
      </c>
      <c r="I781" s="32" t="s">
        <v>243</v>
      </c>
      <c r="J781" s="32" t="s">
        <v>1234</v>
      </c>
      <c r="K781" s="32" t="s">
        <v>1513</v>
      </c>
      <c r="L781" s="32" t="s">
        <v>30</v>
      </c>
      <c r="M781" s="32" t="s">
        <v>30</v>
      </c>
      <c r="N781" s="40">
        <v>2016</v>
      </c>
      <c r="O781" s="32">
        <f>VLOOKUP(Data!N617, CPI!$A$2:$B$112, 2, 0)</f>
        <v>195.3</v>
      </c>
      <c r="P781" s="32" t="s">
        <v>7</v>
      </c>
      <c r="Q781" s="32" t="s">
        <v>250</v>
      </c>
      <c r="R781" s="32" t="s">
        <v>1250</v>
      </c>
      <c r="S781" s="32">
        <v>18.96</v>
      </c>
      <c r="T781" s="32" t="s">
        <v>316</v>
      </c>
      <c r="U781" s="32">
        <v>18.96</v>
      </c>
      <c r="V781" s="32" t="s">
        <v>316</v>
      </c>
      <c r="X781" s="32">
        <f t="shared" si="43"/>
        <v>18.96</v>
      </c>
      <c r="Y781" s="32">
        <f>(CPI!$B$112/O781)*X781</f>
        <v>29.57844946236559</v>
      </c>
      <c r="Z781" s="38" t="s">
        <v>262</v>
      </c>
      <c r="AA781" s="35" t="s">
        <v>1445</v>
      </c>
      <c r="AB781" s="32">
        <v>10048</v>
      </c>
      <c r="AC781" s="32" t="s">
        <v>2517</v>
      </c>
      <c r="AH781" s="32" t="s">
        <v>411</v>
      </c>
      <c r="AK781" s="40" t="s">
        <v>1253</v>
      </c>
      <c r="AL781" s="32">
        <v>2017</v>
      </c>
      <c r="AM781" s="32" t="s">
        <v>1254</v>
      </c>
      <c r="AN781" s="32" t="s">
        <v>1255</v>
      </c>
      <c r="AO781" s="38" t="s">
        <v>1256</v>
      </c>
      <c r="AP781" s="35" t="s">
        <v>396</v>
      </c>
    </row>
    <row r="782" spans="1:42" x14ac:dyDescent="0.2">
      <c r="A782" s="40">
        <v>76</v>
      </c>
      <c r="B782" s="40">
        <v>781</v>
      </c>
      <c r="C782" s="40" t="s">
        <v>119</v>
      </c>
      <c r="D782" s="38" t="s">
        <v>128</v>
      </c>
      <c r="E782" s="32" t="s">
        <v>2185</v>
      </c>
      <c r="F782" s="32" t="s">
        <v>2894</v>
      </c>
      <c r="G782" s="38" t="s">
        <v>142</v>
      </c>
      <c r="H782" s="32" t="s">
        <v>115</v>
      </c>
      <c r="I782" s="32" t="s">
        <v>243</v>
      </c>
      <c r="J782" s="32" t="s">
        <v>1234</v>
      </c>
      <c r="K782" s="32" t="s">
        <v>1513</v>
      </c>
      <c r="L782" s="32" t="s">
        <v>30</v>
      </c>
      <c r="M782" s="32" t="s">
        <v>30</v>
      </c>
      <c r="N782" s="40">
        <v>2016</v>
      </c>
      <c r="O782" s="32">
        <f>VLOOKUP(Data!N618, CPI!$A$2:$B$112, 2, 0)</f>
        <v>195.3</v>
      </c>
      <c r="P782" s="32" t="s">
        <v>7</v>
      </c>
      <c r="Q782" s="32" t="s">
        <v>250</v>
      </c>
      <c r="R782" s="32" t="s">
        <v>1251</v>
      </c>
      <c r="S782" s="32">
        <v>8.6999999999999993</v>
      </c>
      <c r="T782" s="32" t="s">
        <v>316</v>
      </c>
      <c r="U782" s="32">
        <v>8.6999999999999993</v>
      </c>
      <c r="V782" s="32" t="s">
        <v>316</v>
      </c>
      <c r="X782" s="32">
        <f t="shared" si="43"/>
        <v>8.6999999999999993</v>
      </c>
      <c r="Y782" s="32">
        <f>(CPI!$B$112/O782)*X782</f>
        <v>13.572389784946235</v>
      </c>
      <c r="Z782" s="38" t="s">
        <v>262</v>
      </c>
      <c r="AA782" s="35" t="s">
        <v>1445</v>
      </c>
      <c r="AB782" s="32">
        <v>10048</v>
      </c>
      <c r="AC782" s="32" t="s">
        <v>2517</v>
      </c>
      <c r="AH782" s="32" t="s">
        <v>411</v>
      </c>
      <c r="AK782" s="40" t="s">
        <v>1253</v>
      </c>
      <c r="AL782" s="32">
        <v>2017</v>
      </c>
      <c r="AM782" s="32" t="s">
        <v>1254</v>
      </c>
      <c r="AN782" s="32" t="s">
        <v>1255</v>
      </c>
      <c r="AO782" s="38" t="s">
        <v>1256</v>
      </c>
      <c r="AP782" s="35" t="s">
        <v>396</v>
      </c>
    </row>
    <row r="783" spans="1:42" x14ac:dyDescent="0.2">
      <c r="A783" s="40">
        <v>76</v>
      </c>
      <c r="B783" s="40">
        <v>782</v>
      </c>
      <c r="C783" s="40" t="s">
        <v>119</v>
      </c>
      <c r="D783" s="38" t="s">
        <v>128</v>
      </c>
      <c r="E783" s="32" t="s">
        <v>2185</v>
      </c>
      <c r="F783" s="32" t="s">
        <v>2894</v>
      </c>
      <c r="G783" s="38" t="s">
        <v>142</v>
      </c>
      <c r="H783" s="32" t="s">
        <v>115</v>
      </c>
      <c r="I783" s="32" t="s">
        <v>243</v>
      </c>
      <c r="J783" s="32" t="s">
        <v>1234</v>
      </c>
      <c r="K783" s="32" t="s">
        <v>1513</v>
      </c>
      <c r="L783" s="32" t="s">
        <v>30</v>
      </c>
      <c r="M783" s="32" t="s">
        <v>30</v>
      </c>
      <c r="N783" s="40">
        <v>2016</v>
      </c>
      <c r="O783" s="32">
        <f>VLOOKUP(Data!N619, CPI!$A$2:$B$112, 2, 0)</f>
        <v>195.3</v>
      </c>
      <c r="P783" s="32" t="s">
        <v>7</v>
      </c>
      <c r="Q783" s="32" t="s">
        <v>250</v>
      </c>
      <c r="R783" s="32" t="s">
        <v>1252</v>
      </c>
      <c r="S783" s="32">
        <v>2.39</v>
      </c>
      <c r="T783" s="32" t="s">
        <v>316</v>
      </c>
      <c r="U783" s="32">
        <v>2.39</v>
      </c>
      <c r="V783" s="32" t="s">
        <v>316</v>
      </c>
      <c r="X783" s="32">
        <f t="shared" si="43"/>
        <v>2.39</v>
      </c>
      <c r="Y783" s="32">
        <f>(CPI!$B$112/O783)*X783</f>
        <v>3.7285070788530468</v>
      </c>
      <c r="Z783" s="38" t="s">
        <v>262</v>
      </c>
      <c r="AA783" s="35" t="s">
        <v>1445</v>
      </c>
      <c r="AB783" s="32">
        <v>10048</v>
      </c>
      <c r="AC783" s="32" t="s">
        <v>2517</v>
      </c>
      <c r="AH783" s="32" t="s">
        <v>411</v>
      </c>
      <c r="AK783" s="40" t="s">
        <v>1253</v>
      </c>
      <c r="AL783" s="32">
        <v>2017</v>
      </c>
      <c r="AM783" s="32" t="s">
        <v>1254</v>
      </c>
      <c r="AN783" s="32" t="s">
        <v>1255</v>
      </c>
      <c r="AO783" s="38" t="s">
        <v>1256</v>
      </c>
      <c r="AP783" s="35" t="s">
        <v>396</v>
      </c>
    </row>
    <row r="784" spans="1:42" x14ac:dyDescent="0.2">
      <c r="A784" s="40">
        <v>76</v>
      </c>
      <c r="B784" s="40">
        <v>783</v>
      </c>
      <c r="C784" s="40" t="s">
        <v>119</v>
      </c>
      <c r="D784" s="38" t="s">
        <v>128</v>
      </c>
      <c r="E784" s="32" t="s">
        <v>2185</v>
      </c>
      <c r="F784" s="32" t="s">
        <v>2894</v>
      </c>
      <c r="G784" s="38" t="s">
        <v>142</v>
      </c>
      <c r="H784" s="32" t="s">
        <v>115</v>
      </c>
      <c r="I784" s="32" t="s">
        <v>243</v>
      </c>
      <c r="J784" s="32" t="s">
        <v>1234</v>
      </c>
      <c r="K784" s="32" t="s">
        <v>1513</v>
      </c>
      <c r="L784" s="32" t="s">
        <v>30</v>
      </c>
      <c r="M784" s="32" t="s">
        <v>30</v>
      </c>
      <c r="N784" s="40">
        <v>2016</v>
      </c>
      <c r="O784" s="32">
        <f>VLOOKUP(Data!N620, CPI!$A$2:$B$112, 2, 0)</f>
        <v>195.3</v>
      </c>
      <c r="P784" s="32" t="s">
        <v>30</v>
      </c>
      <c r="Q784" s="32" t="s">
        <v>239</v>
      </c>
      <c r="R784" s="32" t="s">
        <v>1257</v>
      </c>
      <c r="S784" s="32">
        <v>2.7</v>
      </c>
      <c r="T784" s="32" t="s">
        <v>316</v>
      </c>
      <c r="U784" s="32">
        <v>2.7</v>
      </c>
      <c r="V784" s="32" t="s">
        <v>316</v>
      </c>
      <c r="X784" s="32">
        <f t="shared" si="43"/>
        <v>2.7</v>
      </c>
      <c r="Y784" s="32">
        <f>(CPI!$B$112/O784)*X784</f>
        <v>4.212120967741936</v>
      </c>
      <c r="Z784" s="38" t="s">
        <v>262</v>
      </c>
      <c r="AA784" s="35" t="s">
        <v>1445</v>
      </c>
      <c r="AB784" s="32">
        <v>10048</v>
      </c>
      <c r="AC784" s="32" t="s">
        <v>2517</v>
      </c>
      <c r="AH784" s="32" t="s">
        <v>411</v>
      </c>
      <c r="AK784" s="40" t="s">
        <v>1253</v>
      </c>
      <c r="AL784" s="32">
        <v>2017</v>
      </c>
      <c r="AM784" s="32" t="s">
        <v>1254</v>
      </c>
      <c r="AN784" s="32" t="s">
        <v>1255</v>
      </c>
      <c r="AO784" s="38" t="s">
        <v>1256</v>
      </c>
      <c r="AP784" s="35" t="s">
        <v>396</v>
      </c>
    </row>
    <row r="785" spans="1:42" x14ac:dyDescent="0.2">
      <c r="A785" s="40">
        <v>77</v>
      </c>
      <c r="B785" s="40">
        <v>784</v>
      </c>
      <c r="C785" s="40" t="s">
        <v>119</v>
      </c>
      <c r="D785" s="38" t="s">
        <v>128</v>
      </c>
      <c r="E785" s="32" t="s">
        <v>2183</v>
      </c>
      <c r="F785" s="32" t="s">
        <v>126</v>
      </c>
      <c r="G785" s="38" t="s">
        <v>152</v>
      </c>
      <c r="H785" s="32" t="s">
        <v>151</v>
      </c>
      <c r="I785" s="32" t="s">
        <v>120</v>
      </c>
      <c r="J785" s="32" t="s">
        <v>1258</v>
      </c>
      <c r="K785" s="32" t="s">
        <v>1513</v>
      </c>
      <c r="L785" s="32" t="s">
        <v>30</v>
      </c>
      <c r="M785" s="32" t="s">
        <v>30</v>
      </c>
      <c r="N785" s="40">
        <v>2011</v>
      </c>
      <c r="O785" s="32">
        <f>VLOOKUP(Data!N1060, CPI!$A$2:$B$112, 2, 0)</f>
        <v>224.93899999999999</v>
      </c>
      <c r="P785" s="32" t="s">
        <v>238</v>
      </c>
      <c r="Q785" s="32" t="s">
        <v>239</v>
      </c>
      <c r="R785" s="32" t="s">
        <v>2518</v>
      </c>
      <c r="S785" s="32">
        <v>287500000</v>
      </c>
      <c r="T785" s="32" t="s">
        <v>1385</v>
      </c>
      <c r="U785" s="32">
        <f>S785/AB785</f>
        <v>906940.06309148262</v>
      </c>
      <c r="V785" s="32" t="s">
        <v>1487</v>
      </c>
      <c r="W785" s="32">
        <f>VLOOKUP(N785, 'Exchange rate- Vietnam'!$A$2:$B$65, 2, 0)</f>
        <v>20509.75</v>
      </c>
      <c r="X785" s="32">
        <f>U785/W785</f>
        <v>44.219947249063623</v>
      </c>
      <c r="Y785" s="32">
        <f>(CPI!$B$112/O785)*X785</f>
        <v>59.895304118077107</v>
      </c>
      <c r="Z785" s="38" t="s">
        <v>1262</v>
      </c>
      <c r="AA785" s="35" t="s">
        <v>1425</v>
      </c>
      <c r="AB785" s="32">
        <v>317</v>
      </c>
      <c r="AH785" s="32" t="s">
        <v>411</v>
      </c>
      <c r="AJ785" s="35" t="s">
        <v>2278</v>
      </c>
      <c r="AK785" s="40" t="s">
        <v>1266</v>
      </c>
      <c r="AL785" s="32">
        <v>2012</v>
      </c>
      <c r="AM785" s="32" t="s">
        <v>1267</v>
      </c>
      <c r="AN785" s="32" t="s">
        <v>1268</v>
      </c>
      <c r="AO785" s="38" t="s">
        <v>1269</v>
      </c>
      <c r="AP785" s="35" t="s">
        <v>396</v>
      </c>
    </row>
    <row r="786" spans="1:42" x14ac:dyDescent="0.2">
      <c r="A786" s="40">
        <v>77</v>
      </c>
      <c r="B786" s="40">
        <v>785</v>
      </c>
      <c r="C786" s="40" t="s">
        <v>119</v>
      </c>
      <c r="D786" s="38" t="s">
        <v>128</v>
      </c>
      <c r="E786" s="32" t="s">
        <v>2183</v>
      </c>
      <c r="F786" s="32" t="s">
        <v>126</v>
      </c>
      <c r="G786" s="38" t="s">
        <v>152</v>
      </c>
      <c r="H786" s="32" t="s">
        <v>151</v>
      </c>
      <c r="I786" s="32" t="s">
        <v>120</v>
      </c>
      <c r="J786" s="32" t="s">
        <v>1258</v>
      </c>
      <c r="K786" s="32" t="s">
        <v>1513</v>
      </c>
      <c r="L786" s="32" t="s">
        <v>30</v>
      </c>
      <c r="M786" s="32" t="s">
        <v>30</v>
      </c>
      <c r="N786" s="40">
        <v>2012</v>
      </c>
      <c r="O786" s="32">
        <f>VLOOKUP(Data!N1061, CPI!$A$2:$B$112, 2, 0)</f>
        <v>224.93899999999999</v>
      </c>
      <c r="P786" s="32" t="s">
        <v>238</v>
      </c>
      <c r="Q786" s="32" t="s">
        <v>239</v>
      </c>
      <c r="R786" s="32" t="s">
        <v>2519</v>
      </c>
      <c r="S786" s="32">
        <v>800000000</v>
      </c>
      <c r="T786" s="32" t="s">
        <v>1385</v>
      </c>
      <c r="U786" s="32">
        <f>S786/AB786</f>
        <v>2523659.3059936906</v>
      </c>
      <c r="V786" s="32" t="s">
        <v>1487</v>
      </c>
      <c r="W786" s="32">
        <f>VLOOKUP(N786, 'Exchange rate- Vietnam'!$A$2:$B$65, 2, 0)</f>
        <v>20828</v>
      </c>
      <c r="X786" s="32">
        <f>U786/W786</f>
        <v>121.16666535402778</v>
      </c>
      <c r="Y786" s="32">
        <f>(CPI!$B$112/O786)*X786</f>
        <v>164.11856462597765</v>
      </c>
      <c r="Z786" s="38" t="s">
        <v>1262</v>
      </c>
      <c r="AA786" s="35" t="s">
        <v>1425</v>
      </c>
      <c r="AB786" s="32">
        <v>317</v>
      </c>
      <c r="AH786" s="32" t="s">
        <v>411</v>
      </c>
      <c r="AJ786" s="35" t="s">
        <v>2278</v>
      </c>
      <c r="AK786" s="40" t="s">
        <v>1266</v>
      </c>
      <c r="AL786" s="32">
        <v>2012</v>
      </c>
      <c r="AM786" s="32" t="s">
        <v>1267</v>
      </c>
      <c r="AN786" s="32" t="s">
        <v>1268</v>
      </c>
      <c r="AO786" s="38" t="s">
        <v>1269</v>
      </c>
      <c r="AP786" s="35" t="s">
        <v>396</v>
      </c>
    </row>
    <row r="787" spans="1:42" x14ac:dyDescent="0.2">
      <c r="A787" s="40">
        <v>77</v>
      </c>
      <c r="B787" s="40">
        <v>786</v>
      </c>
      <c r="C787" s="40" t="s">
        <v>119</v>
      </c>
      <c r="D787" s="38" t="s">
        <v>128</v>
      </c>
      <c r="E787" s="32" t="s">
        <v>2183</v>
      </c>
      <c r="F787" s="32" t="s">
        <v>126</v>
      </c>
      <c r="G787" s="38" t="s">
        <v>152</v>
      </c>
      <c r="H787" s="32" t="s">
        <v>151</v>
      </c>
      <c r="I787" s="32" t="s">
        <v>120</v>
      </c>
      <c r="J787" s="32" t="s">
        <v>1258</v>
      </c>
      <c r="K787" s="32" t="s">
        <v>1513</v>
      </c>
      <c r="L787" s="32" t="s">
        <v>30</v>
      </c>
      <c r="M787" s="32" t="s">
        <v>30</v>
      </c>
      <c r="N787" s="40">
        <v>2013</v>
      </c>
      <c r="O787" s="32">
        <f>VLOOKUP(Data!N1062, CPI!$A$2:$B$112, 2, 0)</f>
        <v>240.00700000000001</v>
      </c>
      <c r="P787" s="32" t="s">
        <v>238</v>
      </c>
      <c r="Q787" s="32" t="s">
        <v>239</v>
      </c>
      <c r="R787" s="32" t="s">
        <v>1265</v>
      </c>
      <c r="S787" s="32">
        <v>587500000</v>
      </c>
      <c r="T787" s="32" t="s">
        <v>1385</v>
      </c>
      <c r="U787" s="32">
        <f>S787/AB787</f>
        <v>1853312.3028391167</v>
      </c>
      <c r="V787" s="32" t="s">
        <v>1487</v>
      </c>
      <c r="W787" s="32">
        <f>VLOOKUP(N787, 'Exchange rate- Vietnam'!$A$2:$B$65, 2, 0)</f>
        <v>20933.416666666701</v>
      </c>
      <c r="X787" s="32">
        <f>U787/W787</f>
        <v>88.533674762717368</v>
      </c>
      <c r="Y787" s="32">
        <f>(CPI!$B$112/O787)*X787</f>
        <v>112.38902320458048</v>
      </c>
      <c r="Z787" s="38" t="s">
        <v>1262</v>
      </c>
      <c r="AA787" s="35" t="s">
        <v>1425</v>
      </c>
      <c r="AB787" s="32">
        <v>317</v>
      </c>
      <c r="AH787" s="32" t="s">
        <v>411</v>
      </c>
      <c r="AJ787" s="35" t="s">
        <v>2278</v>
      </c>
      <c r="AK787" s="40" t="s">
        <v>1266</v>
      </c>
      <c r="AL787" s="32">
        <v>2012</v>
      </c>
      <c r="AM787" s="32" t="s">
        <v>1267</v>
      </c>
      <c r="AN787" s="32" t="s">
        <v>1268</v>
      </c>
      <c r="AO787" s="38" t="s">
        <v>1269</v>
      </c>
      <c r="AP787" s="35" t="s">
        <v>396</v>
      </c>
    </row>
    <row r="788" spans="1:42" x14ac:dyDescent="0.2">
      <c r="A788" s="40">
        <v>77</v>
      </c>
      <c r="B788" s="40">
        <v>787</v>
      </c>
      <c r="C788" s="40" t="s">
        <v>119</v>
      </c>
      <c r="D788" s="38" t="s">
        <v>128</v>
      </c>
      <c r="E788" s="32" t="s">
        <v>2183</v>
      </c>
      <c r="F788" s="32" t="s">
        <v>126</v>
      </c>
      <c r="G788" s="38" t="s">
        <v>152</v>
      </c>
      <c r="H788" s="32" t="s">
        <v>151</v>
      </c>
      <c r="I788" s="32" t="s">
        <v>120</v>
      </c>
      <c r="J788" s="32" t="s">
        <v>1258</v>
      </c>
      <c r="K788" s="32" t="s">
        <v>1513</v>
      </c>
      <c r="L788" s="32" t="s">
        <v>30</v>
      </c>
      <c r="M788" s="32" t="s">
        <v>30</v>
      </c>
      <c r="N788" s="40">
        <v>2013</v>
      </c>
      <c r="O788" s="32">
        <f>VLOOKUP(Data!N1063, CPI!$A$2:$B$112, 2, 0)</f>
        <v>232.95699999999999</v>
      </c>
      <c r="P788" s="32" t="s">
        <v>238</v>
      </c>
      <c r="Q788" s="32" t="s">
        <v>239</v>
      </c>
      <c r="R788" s="32" t="s">
        <v>2520</v>
      </c>
      <c r="S788" s="32">
        <v>1675000000</v>
      </c>
      <c r="T788" s="32" t="s">
        <v>1385</v>
      </c>
      <c r="U788" s="32">
        <f>S788/AB788</f>
        <v>5283911.6719242902</v>
      </c>
      <c r="V788" s="32" t="s">
        <v>1487</v>
      </c>
      <c r="W788" s="32">
        <f>VLOOKUP(N788, 'Exchange rate- Vietnam'!$A$2:$B$65, 2, 0)</f>
        <v>20933.416666666701</v>
      </c>
      <c r="X788" s="32">
        <f>U788/W788</f>
        <v>252.41515783413035</v>
      </c>
      <c r="Y788" s="32">
        <f>(CPI!$B$112/O788)*X788</f>
        <v>330.12543061440471</v>
      </c>
      <c r="Z788" s="38" t="s">
        <v>1262</v>
      </c>
      <c r="AA788" s="35" t="s">
        <v>1425</v>
      </c>
      <c r="AB788" s="32">
        <v>317</v>
      </c>
      <c r="AH788" s="32" t="s">
        <v>411</v>
      </c>
      <c r="AJ788" s="35" t="s">
        <v>2278</v>
      </c>
      <c r="AK788" s="40" t="s">
        <v>1266</v>
      </c>
      <c r="AL788" s="32">
        <v>2012</v>
      </c>
      <c r="AM788" s="32" t="s">
        <v>1267</v>
      </c>
      <c r="AN788" s="32" t="s">
        <v>1268</v>
      </c>
      <c r="AO788" s="38" t="s">
        <v>1269</v>
      </c>
      <c r="AP788" s="35" t="s">
        <v>396</v>
      </c>
    </row>
    <row r="789" spans="1:42" x14ac:dyDescent="0.2">
      <c r="A789" s="40">
        <v>77</v>
      </c>
      <c r="B789" s="40">
        <v>788</v>
      </c>
      <c r="C789" s="40" t="s">
        <v>119</v>
      </c>
      <c r="D789" s="38" t="s">
        <v>128</v>
      </c>
      <c r="E789" s="32" t="s">
        <v>2183</v>
      </c>
      <c r="F789" s="32" t="s">
        <v>126</v>
      </c>
      <c r="G789" s="38" t="s">
        <v>152</v>
      </c>
      <c r="H789" s="32" t="s">
        <v>151</v>
      </c>
      <c r="I789" s="32" t="s">
        <v>120</v>
      </c>
      <c r="J789" s="32" t="s">
        <v>1258</v>
      </c>
      <c r="K789" s="32" t="s">
        <v>1513</v>
      </c>
      <c r="L789" s="32" t="s">
        <v>30</v>
      </c>
      <c r="M789" s="32" t="s">
        <v>30</v>
      </c>
      <c r="N789" s="40">
        <v>2010</v>
      </c>
      <c r="O789" s="32">
        <f>VLOOKUP(Data!N1480, CPI!$A$2:$B$112, 2, 0)</f>
        <v>214.53700000000001</v>
      </c>
      <c r="P789" s="32" t="s">
        <v>238</v>
      </c>
      <c r="Q789" s="32" t="s">
        <v>239</v>
      </c>
      <c r="R789" s="32" t="s">
        <v>1259</v>
      </c>
      <c r="S789" s="32">
        <v>450000</v>
      </c>
      <c r="T789" s="32" t="s">
        <v>1278</v>
      </c>
      <c r="Z789" s="38" t="s">
        <v>1262</v>
      </c>
      <c r="AA789" s="35" t="s">
        <v>1464</v>
      </c>
      <c r="AB789" s="32">
        <v>317</v>
      </c>
      <c r="AH789" s="32" t="s">
        <v>397</v>
      </c>
      <c r="AI789" s="32" t="s">
        <v>2268</v>
      </c>
      <c r="AK789" s="40" t="s">
        <v>1266</v>
      </c>
      <c r="AL789" s="32">
        <v>2012</v>
      </c>
      <c r="AM789" s="32" t="s">
        <v>1267</v>
      </c>
      <c r="AN789" s="32" t="s">
        <v>1268</v>
      </c>
      <c r="AO789" s="38" t="s">
        <v>1269</v>
      </c>
      <c r="AP789" s="35" t="s">
        <v>396</v>
      </c>
    </row>
    <row r="790" spans="1:42" x14ac:dyDescent="0.2">
      <c r="A790" s="40">
        <v>77</v>
      </c>
      <c r="B790" s="40">
        <v>789</v>
      </c>
      <c r="C790" s="40" t="s">
        <v>119</v>
      </c>
      <c r="D790" s="38" t="s">
        <v>128</v>
      </c>
      <c r="E790" s="32" t="s">
        <v>2183</v>
      </c>
      <c r="F790" s="32" t="s">
        <v>126</v>
      </c>
      <c r="G790" s="38" t="s">
        <v>152</v>
      </c>
      <c r="H790" s="32" t="s">
        <v>151</v>
      </c>
      <c r="I790" s="32" t="s">
        <v>120</v>
      </c>
      <c r="J790" s="32" t="s">
        <v>1258</v>
      </c>
      <c r="K790" s="32" t="s">
        <v>1513</v>
      </c>
      <c r="L790" s="32" t="s">
        <v>30</v>
      </c>
      <c r="M790" s="32" t="s">
        <v>30</v>
      </c>
      <c r="N790" s="40">
        <v>2010</v>
      </c>
      <c r="O790" s="32">
        <f>VLOOKUP(Data!N1481, CPI!$A$2:$B$112, 2, 0)</f>
        <v>214.53700000000001</v>
      </c>
      <c r="P790" s="32" t="s">
        <v>238</v>
      </c>
      <c r="Q790" s="32" t="s">
        <v>239</v>
      </c>
      <c r="R790" s="32" t="s">
        <v>1260</v>
      </c>
      <c r="S790" s="32">
        <v>1100000</v>
      </c>
      <c r="T790" s="32" t="s">
        <v>1278</v>
      </c>
      <c r="Z790" s="38" t="s">
        <v>1262</v>
      </c>
      <c r="AA790" s="35" t="s">
        <v>1464</v>
      </c>
      <c r="AB790" s="32">
        <v>317</v>
      </c>
      <c r="AH790" s="32" t="s">
        <v>397</v>
      </c>
      <c r="AI790" s="32" t="s">
        <v>2268</v>
      </c>
      <c r="AK790" s="40" t="s">
        <v>1266</v>
      </c>
      <c r="AL790" s="32">
        <v>2012</v>
      </c>
      <c r="AM790" s="32" t="s">
        <v>1267</v>
      </c>
      <c r="AN790" s="32" t="s">
        <v>1268</v>
      </c>
      <c r="AO790" s="38" t="s">
        <v>1269</v>
      </c>
      <c r="AP790" s="35" t="s">
        <v>396</v>
      </c>
    </row>
    <row r="791" spans="1:42" x14ac:dyDescent="0.2">
      <c r="A791" s="40">
        <v>77</v>
      </c>
      <c r="B791" s="40">
        <v>790</v>
      </c>
      <c r="C791" s="40" t="s">
        <v>119</v>
      </c>
      <c r="D791" s="38" t="s">
        <v>128</v>
      </c>
      <c r="E791" s="32" t="s">
        <v>2183</v>
      </c>
      <c r="F791" s="32" t="s">
        <v>126</v>
      </c>
      <c r="G791" s="38" t="s">
        <v>152</v>
      </c>
      <c r="H791" s="32" t="s">
        <v>151</v>
      </c>
      <c r="I791" s="32" t="s">
        <v>120</v>
      </c>
      <c r="J791" s="32" t="s">
        <v>1258</v>
      </c>
      <c r="K791" s="32" t="s">
        <v>1513</v>
      </c>
      <c r="L791" s="32" t="s">
        <v>30</v>
      </c>
      <c r="M791" s="32" t="s">
        <v>30</v>
      </c>
      <c r="N791" s="40">
        <v>2010</v>
      </c>
      <c r="O791" s="32">
        <f>VLOOKUP(Data!N1482, CPI!$A$2:$B$112, 2, 0)</f>
        <v>258.81099999999998</v>
      </c>
      <c r="P791" s="32" t="s">
        <v>238</v>
      </c>
      <c r="Q791" s="32" t="s">
        <v>239</v>
      </c>
      <c r="R791" s="32" t="s">
        <v>1261</v>
      </c>
      <c r="S791" s="32">
        <v>1900000</v>
      </c>
      <c r="T791" s="32" t="s">
        <v>1278</v>
      </c>
      <c r="Z791" s="38" t="s">
        <v>1262</v>
      </c>
      <c r="AA791" s="35" t="s">
        <v>1464</v>
      </c>
      <c r="AB791" s="32">
        <v>317</v>
      </c>
      <c r="AH791" s="32" t="s">
        <v>397</v>
      </c>
      <c r="AI791" s="32" t="s">
        <v>2268</v>
      </c>
      <c r="AK791" s="40" t="s">
        <v>1266</v>
      </c>
      <c r="AL791" s="32">
        <v>2012</v>
      </c>
      <c r="AM791" s="32" t="s">
        <v>1267</v>
      </c>
      <c r="AN791" s="32" t="s">
        <v>1268</v>
      </c>
      <c r="AO791" s="38" t="s">
        <v>1269</v>
      </c>
      <c r="AP791" s="35" t="s">
        <v>396</v>
      </c>
    </row>
    <row r="792" spans="1:42" x14ac:dyDescent="0.2">
      <c r="A792" s="40">
        <v>77</v>
      </c>
      <c r="B792" s="40">
        <v>791</v>
      </c>
      <c r="C792" s="40" t="s">
        <v>119</v>
      </c>
      <c r="D792" s="38" t="s">
        <v>128</v>
      </c>
      <c r="E792" s="32" t="s">
        <v>2183</v>
      </c>
      <c r="F792" s="32" t="s">
        <v>126</v>
      </c>
      <c r="G792" s="38" t="s">
        <v>152</v>
      </c>
      <c r="H792" s="32" t="s">
        <v>151</v>
      </c>
      <c r="I792" s="32" t="s">
        <v>120</v>
      </c>
      <c r="J792" s="32" t="s">
        <v>1258</v>
      </c>
      <c r="K792" s="32" t="s">
        <v>1513</v>
      </c>
      <c r="L792" s="32" t="s">
        <v>30</v>
      </c>
      <c r="M792" s="32" t="s">
        <v>30</v>
      </c>
      <c r="N792" s="40">
        <v>2011</v>
      </c>
      <c r="O792" s="32">
        <f>VLOOKUP(Data!N1483, CPI!$A$2:$B$112, 2, 0)</f>
        <v>258.81099999999998</v>
      </c>
      <c r="P792" s="32" t="s">
        <v>238</v>
      </c>
      <c r="Q792" s="32" t="s">
        <v>239</v>
      </c>
      <c r="R792" s="32" t="s">
        <v>1263</v>
      </c>
      <c r="S792" s="32">
        <v>1150000</v>
      </c>
      <c r="T792" s="32" t="s">
        <v>1278</v>
      </c>
      <c r="Z792" s="38" t="s">
        <v>1262</v>
      </c>
      <c r="AA792" s="35" t="s">
        <v>1425</v>
      </c>
      <c r="AB792" s="32">
        <v>317</v>
      </c>
      <c r="AH792" s="32" t="s">
        <v>397</v>
      </c>
      <c r="AI792" s="32" t="s">
        <v>2268</v>
      </c>
      <c r="AK792" s="40" t="s">
        <v>1266</v>
      </c>
      <c r="AL792" s="32">
        <v>2012</v>
      </c>
      <c r="AM792" s="32" t="s">
        <v>1267</v>
      </c>
      <c r="AN792" s="32" t="s">
        <v>1268</v>
      </c>
      <c r="AO792" s="38" t="s">
        <v>1269</v>
      </c>
      <c r="AP792" s="35" t="s">
        <v>396</v>
      </c>
    </row>
    <row r="793" spans="1:42" x14ac:dyDescent="0.2">
      <c r="A793" s="40">
        <v>77</v>
      </c>
      <c r="B793" s="40">
        <v>792</v>
      </c>
      <c r="C793" s="40" t="s">
        <v>119</v>
      </c>
      <c r="D793" s="38" t="s">
        <v>128</v>
      </c>
      <c r="E793" s="32" t="s">
        <v>2183</v>
      </c>
      <c r="F793" s="32" t="s">
        <v>126</v>
      </c>
      <c r="G793" s="38" t="s">
        <v>152</v>
      </c>
      <c r="H793" s="32" t="s">
        <v>151</v>
      </c>
      <c r="I793" s="32" t="s">
        <v>120</v>
      </c>
      <c r="J793" s="32" t="s">
        <v>1258</v>
      </c>
      <c r="K793" s="32" t="s">
        <v>1513</v>
      </c>
      <c r="L793" s="32" t="s">
        <v>30</v>
      </c>
      <c r="M793" s="32" t="s">
        <v>30</v>
      </c>
      <c r="N793" s="40">
        <v>2012</v>
      </c>
      <c r="O793" s="32">
        <f>VLOOKUP(Data!N1484, CPI!$A$2:$B$112, 2, 0)</f>
        <v>258.81099999999998</v>
      </c>
      <c r="P793" s="32" t="s">
        <v>238</v>
      </c>
      <c r="Q793" s="32" t="s">
        <v>239</v>
      </c>
      <c r="R793" s="32" t="s">
        <v>1264</v>
      </c>
      <c r="S793" s="32">
        <v>1600000</v>
      </c>
      <c r="T793" s="32" t="s">
        <v>1279</v>
      </c>
      <c r="Z793" s="38" t="s">
        <v>1262</v>
      </c>
      <c r="AA793" s="35" t="s">
        <v>1425</v>
      </c>
      <c r="AB793" s="32">
        <v>317</v>
      </c>
      <c r="AH793" s="32" t="s">
        <v>397</v>
      </c>
      <c r="AI793" s="32" t="s">
        <v>2268</v>
      </c>
      <c r="AK793" s="40" t="s">
        <v>1266</v>
      </c>
      <c r="AL793" s="32">
        <v>2012</v>
      </c>
      <c r="AM793" s="32" t="s">
        <v>1267</v>
      </c>
      <c r="AN793" s="32" t="s">
        <v>1268</v>
      </c>
      <c r="AO793" s="38" t="s">
        <v>1269</v>
      </c>
      <c r="AP793" s="35" t="s">
        <v>396</v>
      </c>
    </row>
    <row r="794" spans="1:42" x14ac:dyDescent="0.2">
      <c r="A794" s="40">
        <v>77</v>
      </c>
      <c r="B794" s="40">
        <v>793</v>
      </c>
      <c r="C794" s="40" t="s">
        <v>119</v>
      </c>
      <c r="D794" s="38" t="s">
        <v>128</v>
      </c>
      <c r="E794" s="32" t="s">
        <v>2183</v>
      </c>
      <c r="F794" s="32" t="s">
        <v>126</v>
      </c>
      <c r="G794" s="38" t="s">
        <v>152</v>
      </c>
      <c r="H794" s="32" t="s">
        <v>151</v>
      </c>
      <c r="I794" s="32" t="s">
        <v>120</v>
      </c>
      <c r="J794" s="32" t="s">
        <v>1258</v>
      </c>
      <c r="K794" s="32" t="s">
        <v>1513</v>
      </c>
      <c r="L794" s="32" t="s">
        <v>30</v>
      </c>
      <c r="M794" s="32" t="s">
        <v>30</v>
      </c>
      <c r="N794" s="40">
        <v>2013</v>
      </c>
      <c r="O794" s="32">
        <f>VLOOKUP(Data!N1485, CPI!$A$2:$B$112, 2, 0)</f>
        <v>258.81099999999998</v>
      </c>
      <c r="P794" s="32" t="s">
        <v>238</v>
      </c>
      <c r="Q794" s="32" t="s">
        <v>239</v>
      </c>
      <c r="R794" s="32" t="s">
        <v>1265</v>
      </c>
      <c r="S794" s="32">
        <v>2350000</v>
      </c>
      <c r="T794" s="32" t="s">
        <v>1279</v>
      </c>
      <c r="Z794" s="38" t="s">
        <v>1262</v>
      </c>
      <c r="AA794" s="35" t="s">
        <v>1425</v>
      </c>
      <c r="AB794" s="32">
        <v>317</v>
      </c>
      <c r="AH794" s="32" t="s">
        <v>397</v>
      </c>
      <c r="AI794" s="32" t="s">
        <v>2268</v>
      </c>
      <c r="AK794" s="40" t="s">
        <v>1266</v>
      </c>
      <c r="AL794" s="32">
        <v>2012</v>
      </c>
      <c r="AM794" s="32" t="s">
        <v>1267</v>
      </c>
      <c r="AN794" s="32" t="s">
        <v>1268</v>
      </c>
      <c r="AO794" s="38" t="s">
        <v>1269</v>
      </c>
      <c r="AP794" s="35" t="s">
        <v>396</v>
      </c>
    </row>
    <row r="795" spans="1:42" x14ac:dyDescent="0.2">
      <c r="A795" s="40">
        <v>78</v>
      </c>
      <c r="B795" s="40">
        <v>794</v>
      </c>
      <c r="C795" s="40" t="s">
        <v>119</v>
      </c>
      <c r="D795" s="38" t="s">
        <v>128</v>
      </c>
      <c r="E795" s="32" t="s">
        <v>2186</v>
      </c>
      <c r="F795" s="32" t="s">
        <v>29</v>
      </c>
      <c r="G795" s="38" t="s">
        <v>29</v>
      </c>
      <c r="H795" s="32" t="s">
        <v>115</v>
      </c>
      <c r="I795" s="32" t="s">
        <v>243</v>
      </c>
      <c r="J795" s="32" t="s">
        <v>1270</v>
      </c>
      <c r="K795" s="32" t="s">
        <v>1513</v>
      </c>
      <c r="L795" s="32" t="s">
        <v>30</v>
      </c>
      <c r="M795" s="32" t="s">
        <v>30</v>
      </c>
      <c r="N795" s="40">
        <v>2014</v>
      </c>
      <c r="O795" s="32">
        <f>VLOOKUP(Data!N1064, CPI!$A$2:$B$112, 2, 0)</f>
        <v>245.12</v>
      </c>
      <c r="P795" s="32" t="s">
        <v>56</v>
      </c>
      <c r="Q795" s="32" t="s">
        <v>239</v>
      </c>
      <c r="R795" s="32" t="s">
        <v>2525</v>
      </c>
      <c r="S795" s="32">
        <v>41.14</v>
      </c>
      <c r="T795" s="32" t="s">
        <v>362</v>
      </c>
      <c r="U795" s="32">
        <f>(S795*AE795)/AB795</f>
        <v>15.015716945996276</v>
      </c>
      <c r="V795" s="32" t="s">
        <v>1487</v>
      </c>
      <c r="W795" s="32">
        <f>VLOOKUP(N795, 'Exchange rate- Vietnam'!$A$2:$B$65, 2, 0)</f>
        <v>21148</v>
      </c>
      <c r="X795" s="32">
        <f>U795/W795</f>
        <v>7.100301184980271E-4</v>
      </c>
      <c r="Y795" s="32">
        <f>(CPI!$B$112/O795)*X795</f>
        <v>8.825459730176802E-4</v>
      </c>
      <c r="Z795" s="38" t="s">
        <v>1262</v>
      </c>
      <c r="AA795" s="35" t="s">
        <v>2323</v>
      </c>
      <c r="AB795" s="32">
        <v>537</v>
      </c>
      <c r="AC795" s="32" t="s">
        <v>1425</v>
      </c>
      <c r="AE795" s="32">
        <v>196</v>
      </c>
      <c r="AF795" s="32" t="s">
        <v>1425</v>
      </c>
      <c r="AH795" s="32" t="s">
        <v>397</v>
      </c>
      <c r="AI795" s="32" t="s">
        <v>2268</v>
      </c>
      <c r="AK795" s="40" t="s">
        <v>1272</v>
      </c>
      <c r="AL795" s="32">
        <v>2017</v>
      </c>
      <c r="AM795" s="32" t="s">
        <v>1273</v>
      </c>
      <c r="AN795" s="32" t="s">
        <v>1274</v>
      </c>
      <c r="AO795" s="38" t="s">
        <v>1275</v>
      </c>
      <c r="AP795" s="35" t="s">
        <v>396</v>
      </c>
    </row>
    <row r="796" spans="1:42" x14ac:dyDescent="0.2">
      <c r="A796" s="40">
        <v>78</v>
      </c>
      <c r="B796" s="40">
        <v>795</v>
      </c>
      <c r="C796" s="40" t="s">
        <v>119</v>
      </c>
      <c r="D796" s="38" t="s">
        <v>128</v>
      </c>
      <c r="E796" s="32" t="s">
        <v>2186</v>
      </c>
      <c r="F796" s="32" t="s">
        <v>29</v>
      </c>
      <c r="G796" s="38" t="s">
        <v>29</v>
      </c>
      <c r="H796" s="32" t="s">
        <v>115</v>
      </c>
      <c r="I796" s="32" t="s">
        <v>243</v>
      </c>
      <c r="J796" s="32" t="s">
        <v>1271</v>
      </c>
      <c r="K796" s="32" t="s">
        <v>1513</v>
      </c>
      <c r="L796" s="32" t="s">
        <v>30</v>
      </c>
      <c r="M796" s="32" t="s">
        <v>30</v>
      </c>
      <c r="N796" s="40">
        <v>2014</v>
      </c>
      <c r="O796" s="32">
        <f>VLOOKUP(Data!N1065, CPI!$A$2:$B$112, 2, 0)</f>
        <v>245.12</v>
      </c>
      <c r="P796" s="32" t="s">
        <v>56</v>
      </c>
      <c r="Q796" s="32" t="s">
        <v>239</v>
      </c>
      <c r="R796" s="32" t="s">
        <v>2526</v>
      </c>
      <c r="S796" s="32">
        <v>26.8</v>
      </c>
      <c r="T796" s="32" t="s">
        <v>362</v>
      </c>
      <c r="U796" s="32">
        <f>(S796*AE796)/AB796</f>
        <v>0.93173198482932995</v>
      </c>
      <c r="V796" s="32" t="s">
        <v>1487</v>
      </c>
      <c r="W796" s="32">
        <f>VLOOKUP(N796, 'Exchange rate- Vietnam'!$A$2:$B$65, 2, 0)</f>
        <v>21148</v>
      </c>
      <c r="X796" s="32">
        <f>U796/W796</f>
        <v>4.4057687952966236E-5</v>
      </c>
      <c r="Y796" s="32">
        <f>(CPI!$B$112/O796)*X796</f>
        <v>5.4762374257604056E-5</v>
      </c>
      <c r="Z796" s="38" t="s">
        <v>1262</v>
      </c>
      <c r="AA796" s="35" t="s">
        <v>2323</v>
      </c>
      <c r="AB796" s="32">
        <v>18984</v>
      </c>
      <c r="AC796" s="32" t="s">
        <v>1425</v>
      </c>
      <c r="AE796" s="32">
        <v>660</v>
      </c>
      <c r="AF796" s="32" t="s">
        <v>1425</v>
      </c>
      <c r="AH796" s="32" t="s">
        <v>397</v>
      </c>
      <c r="AI796" s="32" t="s">
        <v>2268</v>
      </c>
      <c r="AK796" s="40" t="s">
        <v>1272</v>
      </c>
      <c r="AL796" s="32">
        <v>2017</v>
      </c>
      <c r="AM796" s="32" t="s">
        <v>1273</v>
      </c>
      <c r="AN796" s="32" t="s">
        <v>1274</v>
      </c>
      <c r="AO796" s="38" t="s">
        <v>1275</v>
      </c>
      <c r="AP796" s="35" t="s">
        <v>396</v>
      </c>
    </row>
    <row r="797" spans="1:42" x14ac:dyDescent="0.2">
      <c r="A797" s="40">
        <v>79</v>
      </c>
      <c r="B797" s="40">
        <v>796</v>
      </c>
      <c r="C797" s="40" t="s">
        <v>119</v>
      </c>
      <c r="D797" s="38" t="s">
        <v>128</v>
      </c>
      <c r="E797" s="32" t="s">
        <v>2186</v>
      </c>
      <c r="F797" s="32" t="s">
        <v>29</v>
      </c>
      <c r="G797" s="38" t="s">
        <v>29</v>
      </c>
      <c r="H797" s="32" t="s">
        <v>115</v>
      </c>
      <c r="I797" s="32" t="s">
        <v>243</v>
      </c>
      <c r="J797" s="32" t="s">
        <v>1277</v>
      </c>
      <c r="K797" s="32" t="s">
        <v>1513</v>
      </c>
      <c r="L797" s="32" t="s">
        <v>30</v>
      </c>
      <c r="M797" s="32" t="s">
        <v>30</v>
      </c>
      <c r="N797" s="40">
        <v>2012</v>
      </c>
      <c r="O797" s="32">
        <f>VLOOKUP(Data!N1050, CPI!$A$2:$B$112, 2, 0)</f>
        <v>236.73599999999999</v>
      </c>
      <c r="P797" s="32" t="s">
        <v>56</v>
      </c>
      <c r="Q797" s="32" t="s">
        <v>239</v>
      </c>
      <c r="R797" s="32" t="s">
        <v>1294</v>
      </c>
      <c r="S797" s="32">
        <v>200000</v>
      </c>
      <c r="T797" s="32" t="s">
        <v>2524</v>
      </c>
      <c r="U797" s="32">
        <v>200000</v>
      </c>
      <c r="V797" s="32" t="s">
        <v>2524</v>
      </c>
      <c r="W797" s="32">
        <f>VLOOKUP(N797, 'Exchange rate- Vietnam'!$A$2:$B$65, 2, 0)</f>
        <v>20828</v>
      </c>
      <c r="X797" s="32">
        <f>U797/W797</f>
        <v>9.602458229306702</v>
      </c>
      <c r="Y797" s="32">
        <f>(CPI!$B$112/O797)*X797</f>
        <v>12.358263066521024</v>
      </c>
      <c r="Z797" s="38" t="s">
        <v>1262</v>
      </c>
      <c r="AA797" s="35" t="s">
        <v>2522</v>
      </c>
      <c r="AB797" s="32">
        <f>120+40</f>
        <v>160</v>
      </c>
      <c r="AC797" s="32" t="s">
        <v>2523</v>
      </c>
      <c r="AH797" s="32" t="s">
        <v>411</v>
      </c>
      <c r="AK797" s="40" t="s">
        <v>1295</v>
      </c>
      <c r="AL797" s="32">
        <v>2014</v>
      </c>
      <c r="AM797" s="32" t="s">
        <v>1296</v>
      </c>
      <c r="AN797" s="32" t="s">
        <v>1297</v>
      </c>
      <c r="AO797" s="38" t="s">
        <v>1298</v>
      </c>
      <c r="AP797" s="35" t="s">
        <v>396</v>
      </c>
    </row>
    <row r="798" spans="1:42" x14ac:dyDescent="0.2">
      <c r="A798" s="40">
        <v>79</v>
      </c>
      <c r="B798" s="40">
        <v>797</v>
      </c>
      <c r="C798" s="40" t="s">
        <v>119</v>
      </c>
      <c r="D798" s="38" t="s">
        <v>128</v>
      </c>
      <c r="E798" s="32" t="s">
        <v>2183</v>
      </c>
      <c r="F798" s="32" t="s">
        <v>237</v>
      </c>
      <c r="G798" s="38" t="s">
        <v>117</v>
      </c>
      <c r="H798" s="32" t="s">
        <v>115</v>
      </c>
      <c r="I798" s="32" t="s">
        <v>243</v>
      </c>
      <c r="J798" s="32" t="s">
        <v>1276</v>
      </c>
      <c r="K798" s="32" t="s">
        <v>1513</v>
      </c>
      <c r="L798" s="32" t="s">
        <v>30</v>
      </c>
      <c r="M798" s="32" t="s">
        <v>30</v>
      </c>
      <c r="N798" s="40">
        <v>2013</v>
      </c>
      <c r="O798" s="32">
        <f>VLOOKUP(Data!N1486, CPI!$A$2:$B$112, 2, 0)</f>
        <v>258.81099999999998</v>
      </c>
      <c r="P798" s="32" t="s">
        <v>238</v>
      </c>
      <c r="Q798" s="32" t="s">
        <v>239</v>
      </c>
      <c r="R798" s="32" t="s">
        <v>1280</v>
      </c>
      <c r="S798" s="32">
        <v>200000</v>
      </c>
      <c r="T798" s="32" t="s">
        <v>1291</v>
      </c>
      <c r="Z798" s="38" t="s">
        <v>1262</v>
      </c>
      <c r="AA798" s="35" t="s">
        <v>1446</v>
      </c>
      <c r="AB798" s="32">
        <v>1256.3</v>
      </c>
      <c r="AH798" s="32" t="s">
        <v>397</v>
      </c>
      <c r="AI798" s="32" t="s">
        <v>2268</v>
      </c>
      <c r="AK798" s="40" t="s">
        <v>1295</v>
      </c>
      <c r="AL798" s="32">
        <v>2014</v>
      </c>
      <c r="AM798" s="32" t="s">
        <v>1296</v>
      </c>
      <c r="AN798" s="32" t="s">
        <v>1297</v>
      </c>
      <c r="AO798" s="38" t="s">
        <v>1298</v>
      </c>
      <c r="AP798" s="35" t="s">
        <v>396</v>
      </c>
    </row>
    <row r="799" spans="1:42" x14ac:dyDescent="0.2">
      <c r="A799" s="40">
        <v>79</v>
      </c>
      <c r="B799" s="40">
        <v>798</v>
      </c>
      <c r="C799" s="40" t="s">
        <v>119</v>
      </c>
      <c r="D799" s="38" t="s">
        <v>128</v>
      </c>
      <c r="E799" s="32" t="s">
        <v>2183</v>
      </c>
      <c r="F799" s="32" t="s">
        <v>126</v>
      </c>
      <c r="G799" s="38" t="s">
        <v>127</v>
      </c>
      <c r="H799" s="32" t="s">
        <v>115</v>
      </c>
      <c r="I799" s="32" t="s">
        <v>243</v>
      </c>
      <c r="J799" s="32" t="s">
        <v>1276</v>
      </c>
      <c r="K799" s="32" t="s">
        <v>1513</v>
      </c>
      <c r="L799" s="32" t="s">
        <v>30</v>
      </c>
      <c r="M799" s="32" t="s">
        <v>30</v>
      </c>
      <c r="N799" s="40">
        <v>2013</v>
      </c>
      <c r="O799" s="32">
        <f>VLOOKUP(Data!N1487, CPI!$A$2:$B$112, 2, 0)</f>
        <v>258.81099999999998</v>
      </c>
      <c r="P799" s="32" t="s">
        <v>238</v>
      </c>
      <c r="Q799" s="32" t="s">
        <v>239</v>
      </c>
      <c r="R799" s="32" t="s">
        <v>1281</v>
      </c>
      <c r="S799" s="32">
        <v>3700</v>
      </c>
      <c r="T799" s="32" t="s">
        <v>1292</v>
      </c>
      <c r="Z799" s="38" t="s">
        <v>1262</v>
      </c>
      <c r="AA799" s="35" t="s">
        <v>1446</v>
      </c>
      <c r="AB799" s="32">
        <v>1256.3</v>
      </c>
      <c r="AH799" s="32" t="s">
        <v>397</v>
      </c>
      <c r="AI799" s="32" t="s">
        <v>2268</v>
      </c>
      <c r="AK799" s="40" t="s">
        <v>1295</v>
      </c>
      <c r="AL799" s="32">
        <v>2014</v>
      </c>
      <c r="AM799" s="32" t="s">
        <v>1296</v>
      </c>
      <c r="AN799" s="32" t="s">
        <v>1297</v>
      </c>
      <c r="AO799" s="38" t="s">
        <v>1298</v>
      </c>
      <c r="AP799" s="35" t="s">
        <v>396</v>
      </c>
    </row>
    <row r="800" spans="1:42" x14ac:dyDescent="0.2">
      <c r="A800" s="40">
        <v>79</v>
      </c>
      <c r="B800" s="40">
        <v>799</v>
      </c>
      <c r="C800" s="40" t="s">
        <v>119</v>
      </c>
      <c r="D800" s="38" t="s">
        <v>128</v>
      </c>
      <c r="E800" s="32" t="s">
        <v>2183</v>
      </c>
      <c r="F800" s="32" t="s">
        <v>237</v>
      </c>
      <c r="G800" s="38" t="s">
        <v>117</v>
      </c>
      <c r="H800" s="32" t="s">
        <v>115</v>
      </c>
      <c r="I800" s="32" t="s">
        <v>243</v>
      </c>
      <c r="J800" s="32" t="s">
        <v>1276</v>
      </c>
      <c r="K800" s="32" t="s">
        <v>1513</v>
      </c>
      <c r="L800" s="32" t="s">
        <v>30</v>
      </c>
      <c r="M800" s="32" t="s">
        <v>30</v>
      </c>
      <c r="N800" s="40">
        <v>2013</v>
      </c>
      <c r="O800" s="32">
        <f>VLOOKUP(Data!N1488, CPI!$A$2:$B$112, 2, 0)</f>
        <v>258.81099999999998</v>
      </c>
      <c r="P800" s="32" t="s">
        <v>238</v>
      </c>
      <c r="Q800" s="32" t="s">
        <v>239</v>
      </c>
      <c r="R800" s="32" t="s">
        <v>1282</v>
      </c>
      <c r="S800" s="32">
        <v>2500</v>
      </c>
      <c r="T800" s="32" t="s">
        <v>1292</v>
      </c>
      <c r="Z800" s="38" t="s">
        <v>1262</v>
      </c>
      <c r="AA800" s="35" t="s">
        <v>1446</v>
      </c>
      <c r="AB800" s="32">
        <v>1256.3</v>
      </c>
      <c r="AH800" s="32" t="s">
        <v>397</v>
      </c>
      <c r="AI800" s="32" t="s">
        <v>2268</v>
      </c>
      <c r="AK800" s="40" t="s">
        <v>1295</v>
      </c>
      <c r="AL800" s="32">
        <v>2014</v>
      </c>
      <c r="AM800" s="32" t="s">
        <v>1296</v>
      </c>
      <c r="AN800" s="32" t="s">
        <v>1297</v>
      </c>
      <c r="AO800" s="38" t="s">
        <v>1298</v>
      </c>
      <c r="AP800" s="35" t="s">
        <v>396</v>
      </c>
    </row>
    <row r="801" spans="1:42" x14ac:dyDescent="0.2">
      <c r="A801" s="40">
        <v>79</v>
      </c>
      <c r="B801" s="40">
        <v>800</v>
      </c>
      <c r="C801" s="40" t="s">
        <v>119</v>
      </c>
      <c r="D801" s="38" t="s">
        <v>128</v>
      </c>
      <c r="E801" s="32" t="s">
        <v>2183</v>
      </c>
      <c r="F801" s="32" t="s">
        <v>237</v>
      </c>
      <c r="G801" s="38" t="s">
        <v>179</v>
      </c>
      <c r="H801" s="32" t="s">
        <v>115</v>
      </c>
      <c r="I801" s="32" t="s">
        <v>243</v>
      </c>
      <c r="J801" s="32" t="s">
        <v>1276</v>
      </c>
      <c r="K801" s="32" t="s">
        <v>1513</v>
      </c>
      <c r="L801" s="32" t="s">
        <v>30</v>
      </c>
      <c r="M801" s="32" t="s">
        <v>30</v>
      </c>
      <c r="N801" s="40">
        <v>2013</v>
      </c>
      <c r="O801" s="32">
        <f>VLOOKUP(Data!N1489, CPI!$A$2:$B$112, 2, 0)</f>
        <v>258.81099999999998</v>
      </c>
      <c r="P801" s="32" t="s">
        <v>238</v>
      </c>
      <c r="Q801" s="32" t="s">
        <v>239</v>
      </c>
      <c r="R801" s="32" t="s">
        <v>1283</v>
      </c>
      <c r="S801" s="32">
        <v>9000</v>
      </c>
      <c r="T801" s="32" t="s">
        <v>1292</v>
      </c>
      <c r="Z801" s="38" t="s">
        <v>1262</v>
      </c>
      <c r="AA801" s="35" t="s">
        <v>1446</v>
      </c>
      <c r="AB801" s="32">
        <v>1256.3</v>
      </c>
      <c r="AH801" s="32" t="s">
        <v>397</v>
      </c>
      <c r="AI801" s="32" t="s">
        <v>2268</v>
      </c>
      <c r="AK801" s="40" t="s">
        <v>1295</v>
      </c>
      <c r="AL801" s="32">
        <v>2014</v>
      </c>
      <c r="AM801" s="32" t="s">
        <v>1296</v>
      </c>
      <c r="AN801" s="32" t="s">
        <v>1297</v>
      </c>
      <c r="AO801" s="38" t="s">
        <v>1298</v>
      </c>
      <c r="AP801" s="35" t="s">
        <v>396</v>
      </c>
    </row>
    <row r="802" spans="1:42" x14ac:dyDescent="0.2">
      <c r="A802" s="40">
        <v>79</v>
      </c>
      <c r="B802" s="40">
        <v>801</v>
      </c>
      <c r="C802" s="40" t="s">
        <v>119</v>
      </c>
      <c r="D802" s="38" t="s">
        <v>128</v>
      </c>
      <c r="E802" s="32" t="s">
        <v>2183</v>
      </c>
      <c r="F802" s="32" t="s">
        <v>237</v>
      </c>
      <c r="G802" s="38" t="s">
        <v>179</v>
      </c>
      <c r="H802" s="32" t="s">
        <v>115</v>
      </c>
      <c r="I802" s="32" t="s">
        <v>243</v>
      </c>
      <c r="J802" s="32" t="s">
        <v>1276</v>
      </c>
      <c r="K802" s="32" t="s">
        <v>1513</v>
      </c>
      <c r="L802" s="32" t="s">
        <v>30</v>
      </c>
      <c r="M802" s="32" t="s">
        <v>30</v>
      </c>
      <c r="N802" s="40">
        <v>2013</v>
      </c>
      <c r="O802" s="32">
        <f>VLOOKUP(Data!N1490, CPI!$A$2:$B$112, 2, 0)</f>
        <v>251.107</v>
      </c>
      <c r="P802" s="32" t="s">
        <v>238</v>
      </c>
      <c r="Q802" s="32" t="s">
        <v>239</v>
      </c>
      <c r="R802" s="32" t="s">
        <v>1284</v>
      </c>
      <c r="S802" s="58">
        <v>100000</v>
      </c>
      <c r="T802" s="32" t="s">
        <v>1292</v>
      </c>
      <c r="Z802" s="38" t="s">
        <v>1262</v>
      </c>
      <c r="AA802" s="35" t="s">
        <v>1446</v>
      </c>
      <c r="AB802" s="32">
        <v>1256.3</v>
      </c>
      <c r="AH802" s="32" t="s">
        <v>397</v>
      </c>
      <c r="AI802" s="32" t="s">
        <v>2268</v>
      </c>
      <c r="AK802" s="40" t="s">
        <v>1295</v>
      </c>
      <c r="AL802" s="32">
        <v>2014</v>
      </c>
      <c r="AM802" s="32" t="s">
        <v>1296</v>
      </c>
      <c r="AN802" s="32" t="s">
        <v>1297</v>
      </c>
      <c r="AO802" s="38" t="s">
        <v>1298</v>
      </c>
      <c r="AP802" s="35" t="s">
        <v>396</v>
      </c>
    </row>
    <row r="803" spans="1:42" x14ac:dyDescent="0.2">
      <c r="A803" s="40">
        <v>79</v>
      </c>
      <c r="B803" s="40">
        <v>802</v>
      </c>
      <c r="C803" s="40" t="s">
        <v>119</v>
      </c>
      <c r="D803" s="38" t="s">
        <v>128</v>
      </c>
      <c r="E803" s="32" t="s">
        <v>2183</v>
      </c>
      <c r="F803" s="32" t="s">
        <v>126</v>
      </c>
      <c r="G803" s="38" t="s">
        <v>127</v>
      </c>
      <c r="H803" s="32" t="s">
        <v>115</v>
      </c>
      <c r="I803" s="32" t="s">
        <v>243</v>
      </c>
      <c r="J803" s="32" t="s">
        <v>1276</v>
      </c>
      <c r="K803" s="32" t="s">
        <v>1513</v>
      </c>
      <c r="L803" s="32" t="s">
        <v>30</v>
      </c>
      <c r="M803" s="32" t="s">
        <v>30</v>
      </c>
      <c r="N803" s="40">
        <v>2013</v>
      </c>
      <c r="O803" s="32">
        <f>VLOOKUP(Data!N1491, CPI!$A$2:$B$112, 2, 0)</f>
        <v>251.107</v>
      </c>
      <c r="P803" s="32" t="s">
        <v>238</v>
      </c>
      <c r="Q803" s="32" t="s">
        <v>239</v>
      </c>
      <c r="R803" s="32" t="s">
        <v>1285</v>
      </c>
      <c r="S803" s="58">
        <v>10000</v>
      </c>
      <c r="T803" s="32" t="s">
        <v>1293</v>
      </c>
      <c r="Z803" s="38" t="s">
        <v>1262</v>
      </c>
      <c r="AA803" s="35" t="s">
        <v>1446</v>
      </c>
      <c r="AB803" s="32">
        <v>1256.3</v>
      </c>
      <c r="AH803" s="32" t="s">
        <v>397</v>
      </c>
      <c r="AI803" s="32" t="s">
        <v>2268</v>
      </c>
      <c r="AK803" s="40" t="s">
        <v>1295</v>
      </c>
      <c r="AL803" s="32">
        <v>2014</v>
      </c>
      <c r="AM803" s="32" t="s">
        <v>1296</v>
      </c>
      <c r="AN803" s="32" t="s">
        <v>1297</v>
      </c>
      <c r="AO803" s="38" t="s">
        <v>1298</v>
      </c>
      <c r="AP803" s="35" t="s">
        <v>396</v>
      </c>
    </row>
    <row r="804" spans="1:42" x14ac:dyDescent="0.2">
      <c r="A804" s="40">
        <v>79</v>
      </c>
      <c r="B804" s="40">
        <v>803</v>
      </c>
      <c r="C804" s="40" t="s">
        <v>119</v>
      </c>
      <c r="D804" s="38" t="s">
        <v>128</v>
      </c>
      <c r="E804" s="32" t="s">
        <v>2183</v>
      </c>
      <c r="F804" s="32" t="s">
        <v>237</v>
      </c>
      <c r="G804" s="38" t="s">
        <v>117</v>
      </c>
      <c r="H804" s="32" t="s">
        <v>115</v>
      </c>
      <c r="I804" s="32" t="s">
        <v>243</v>
      </c>
      <c r="J804" s="32" t="s">
        <v>1276</v>
      </c>
      <c r="K804" s="32" t="s">
        <v>1513</v>
      </c>
      <c r="L804" s="32" t="s">
        <v>30</v>
      </c>
      <c r="M804" s="32" t="s">
        <v>30</v>
      </c>
      <c r="N804" s="40">
        <v>2013</v>
      </c>
      <c r="O804" s="32">
        <f>VLOOKUP(Data!N1492, CPI!$A$2:$B$112, 2, 0)</f>
        <v>251.107</v>
      </c>
      <c r="P804" s="32" t="s">
        <v>238</v>
      </c>
      <c r="Q804" s="32" t="s">
        <v>239</v>
      </c>
      <c r="R804" s="32" t="s">
        <v>1290</v>
      </c>
      <c r="S804" s="58">
        <v>70000</v>
      </c>
      <c r="T804" s="32" t="s">
        <v>1292</v>
      </c>
      <c r="Z804" s="38" t="s">
        <v>1262</v>
      </c>
      <c r="AA804" s="35" t="s">
        <v>1446</v>
      </c>
      <c r="AB804" s="32">
        <v>1256.3</v>
      </c>
      <c r="AH804" s="32" t="s">
        <v>397</v>
      </c>
      <c r="AI804" s="32" t="s">
        <v>2268</v>
      </c>
      <c r="AK804" s="40" t="s">
        <v>1295</v>
      </c>
      <c r="AL804" s="32">
        <v>2014</v>
      </c>
      <c r="AM804" s="32" t="s">
        <v>1296</v>
      </c>
      <c r="AN804" s="32" t="s">
        <v>1297</v>
      </c>
      <c r="AO804" s="38" t="s">
        <v>1298</v>
      </c>
      <c r="AP804" s="35" t="s">
        <v>396</v>
      </c>
    </row>
    <row r="805" spans="1:42" x14ac:dyDescent="0.2">
      <c r="A805" s="40">
        <v>79</v>
      </c>
      <c r="B805" s="40">
        <v>804</v>
      </c>
      <c r="C805" s="40" t="s">
        <v>119</v>
      </c>
      <c r="D805" s="38" t="s">
        <v>128</v>
      </c>
      <c r="E805" s="32" t="s">
        <v>2183</v>
      </c>
      <c r="F805" s="32" t="s">
        <v>237</v>
      </c>
      <c r="G805" s="38" t="s">
        <v>179</v>
      </c>
      <c r="H805" s="32" t="s">
        <v>115</v>
      </c>
      <c r="I805" s="32" t="s">
        <v>243</v>
      </c>
      <c r="J805" s="32" t="s">
        <v>1276</v>
      </c>
      <c r="K805" s="32" t="s">
        <v>1513</v>
      </c>
      <c r="L805" s="32" t="s">
        <v>30</v>
      </c>
      <c r="M805" s="32" t="s">
        <v>30</v>
      </c>
      <c r="N805" s="40">
        <v>2013</v>
      </c>
      <c r="O805" s="32">
        <f>VLOOKUP(Data!N1493, CPI!$A$2:$B$112, 2, 0)</f>
        <v>251.107</v>
      </c>
      <c r="P805" s="32" t="s">
        <v>238</v>
      </c>
      <c r="Q805" s="32" t="s">
        <v>239</v>
      </c>
      <c r="R805" s="32" t="s">
        <v>1286</v>
      </c>
      <c r="S805" s="32">
        <v>100000</v>
      </c>
      <c r="T805" s="32" t="s">
        <v>1292</v>
      </c>
      <c r="Z805" s="38" t="s">
        <v>1262</v>
      </c>
      <c r="AA805" s="35" t="s">
        <v>1446</v>
      </c>
      <c r="AB805" s="32">
        <v>1256.3</v>
      </c>
      <c r="AH805" s="32" t="s">
        <v>397</v>
      </c>
      <c r="AI805" s="32" t="s">
        <v>2268</v>
      </c>
      <c r="AK805" s="40" t="s">
        <v>1295</v>
      </c>
      <c r="AL805" s="32">
        <v>2014</v>
      </c>
      <c r="AM805" s="32" t="s">
        <v>1296</v>
      </c>
      <c r="AN805" s="32" t="s">
        <v>1297</v>
      </c>
      <c r="AO805" s="38" t="s">
        <v>1298</v>
      </c>
      <c r="AP805" s="35" t="s">
        <v>396</v>
      </c>
    </row>
    <row r="806" spans="1:42" x14ac:dyDescent="0.2">
      <c r="A806" s="40">
        <v>79</v>
      </c>
      <c r="B806" s="40">
        <v>805</v>
      </c>
      <c r="C806" s="40" t="s">
        <v>119</v>
      </c>
      <c r="D806" s="38" t="s">
        <v>128</v>
      </c>
      <c r="E806" s="32" t="s">
        <v>2183</v>
      </c>
      <c r="F806" s="32" t="s">
        <v>237</v>
      </c>
      <c r="G806" s="38" t="s">
        <v>154</v>
      </c>
      <c r="H806" s="32" t="s">
        <v>115</v>
      </c>
      <c r="I806" s="32" t="s">
        <v>243</v>
      </c>
      <c r="J806" s="32" t="s">
        <v>1276</v>
      </c>
      <c r="K806" s="32" t="s">
        <v>1513</v>
      </c>
      <c r="L806" s="32" t="s">
        <v>30</v>
      </c>
      <c r="M806" s="32" t="s">
        <v>30</v>
      </c>
      <c r="N806" s="40">
        <v>2013</v>
      </c>
      <c r="O806" s="32">
        <f>VLOOKUP(Data!N1494, CPI!$A$2:$B$112, 2, 0)</f>
        <v>245.12</v>
      </c>
      <c r="P806" s="32" t="s">
        <v>238</v>
      </c>
      <c r="Q806" s="32" t="s">
        <v>239</v>
      </c>
      <c r="R806" s="32" t="s">
        <v>1287</v>
      </c>
      <c r="S806" s="32">
        <v>70000</v>
      </c>
      <c r="T806" s="32" t="s">
        <v>1292</v>
      </c>
      <c r="Z806" s="38" t="s">
        <v>1262</v>
      </c>
      <c r="AA806" s="35" t="s">
        <v>1446</v>
      </c>
      <c r="AB806" s="32">
        <v>1256.3</v>
      </c>
      <c r="AH806" s="32" t="s">
        <v>397</v>
      </c>
      <c r="AI806" s="32" t="s">
        <v>2268</v>
      </c>
      <c r="AK806" s="40" t="s">
        <v>1295</v>
      </c>
      <c r="AL806" s="32">
        <v>2014</v>
      </c>
      <c r="AM806" s="32" t="s">
        <v>1296</v>
      </c>
      <c r="AN806" s="32" t="s">
        <v>1297</v>
      </c>
      <c r="AO806" s="38" t="s">
        <v>1298</v>
      </c>
      <c r="AP806" s="35" t="s">
        <v>396</v>
      </c>
    </row>
    <row r="807" spans="1:42" x14ac:dyDescent="0.2">
      <c r="A807" s="40">
        <v>79</v>
      </c>
      <c r="B807" s="40">
        <v>806</v>
      </c>
      <c r="C807" s="40" t="s">
        <v>119</v>
      </c>
      <c r="D807" s="38" t="s">
        <v>128</v>
      </c>
      <c r="E807" s="32" t="s">
        <v>2183</v>
      </c>
      <c r="F807" s="32" t="s">
        <v>237</v>
      </c>
      <c r="G807" s="38" t="s">
        <v>117</v>
      </c>
      <c r="H807" s="32" t="s">
        <v>115</v>
      </c>
      <c r="I807" s="32" t="s">
        <v>243</v>
      </c>
      <c r="J807" s="32" t="s">
        <v>1276</v>
      </c>
      <c r="K807" s="32" t="s">
        <v>1513</v>
      </c>
      <c r="L807" s="32" t="s">
        <v>30</v>
      </c>
      <c r="M807" s="32" t="s">
        <v>30</v>
      </c>
      <c r="N807" s="40">
        <v>2013</v>
      </c>
      <c r="O807" s="32">
        <f>VLOOKUP(Data!N1495, CPI!$A$2:$B$112, 2, 0)</f>
        <v>245.12</v>
      </c>
      <c r="P807" s="32" t="s">
        <v>238</v>
      </c>
      <c r="Q807" s="32" t="s">
        <v>239</v>
      </c>
      <c r="R807" s="32" t="s">
        <v>1288</v>
      </c>
      <c r="S807" s="32">
        <v>200000</v>
      </c>
      <c r="T807" s="32" t="s">
        <v>1292</v>
      </c>
      <c r="Z807" s="38" t="s">
        <v>1262</v>
      </c>
      <c r="AA807" s="35" t="s">
        <v>1446</v>
      </c>
      <c r="AB807" s="32">
        <v>1256.3</v>
      </c>
      <c r="AH807" s="32" t="s">
        <v>397</v>
      </c>
      <c r="AI807" s="32" t="s">
        <v>2268</v>
      </c>
      <c r="AK807" s="40" t="s">
        <v>1295</v>
      </c>
      <c r="AL807" s="32">
        <v>2014</v>
      </c>
      <c r="AM807" s="32" t="s">
        <v>1296</v>
      </c>
      <c r="AN807" s="32" t="s">
        <v>1297</v>
      </c>
      <c r="AO807" s="38" t="s">
        <v>1298</v>
      </c>
      <c r="AP807" s="35" t="s">
        <v>396</v>
      </c>
    </row>
    <row r="808" spans="1:42" x14ac:dyDescent="0.2">
      <c r="A808" s="40">
        <v>79</v>
      </c>
      <c r="B808" s="40">
        <v>807</v>
      </c>
      <c r="C808" s="40" t="s">
        <v>119</v>
      </c>
      <c r="D808" s="38" t="s">
        <v>128</v>
      </c>
      <c r="E808" s="32" t="s">
        <v>2183</v>
      </c>
      <c r="F808" s="32" t="s">
        <v>237</v>
      </c>
      <c r="G808" s="38" t="s">
        <v>179</v>
      </c>
      <c r="H808" s="32" t="s">
        <v>115</v>
      </c>
      <c r="I808" s="32" t="s">
        <v>243</v>
      </c>
      <c r="J808" s="32" t="s">
        <v>1276</v>
      </c>
      <c r="K808" s="32" t="s">
        <v>1513</v>
      </c>
      <c r="L808" s="32" t="s">
        <v>30</v>
      </c>
      <c r="M808" s="32" t="s">
        <v>30</v>
      </c>
      <c r="N808" s="40">
        <v>2013</v>
      </c>
      <c r="O808" s="32">
        <f>VLOOKUP(Data!N1496, CPI!$A$2:$B$112, 2, 0)</f>
        <v>245.12</v>
      </c>
      <c r="P808" s="32" t="s">
        <v>238</v>
      </c>
      <c r="Q808" s="32" t="s">
        <v>239</v>
      </c>
      <c r="R808" s="32" t="s">
        <v>1289</v>
      </c>
      <c r="S808" s="32">
        <v>50000</v>
      </c>
      <c r="T808" s="32" t="s">
        <v>1292</v>
      </c>
      <c r="Z808" s="38" t="s">
        <v>1262</v>
      </c>
      <c r="AA808" s="35" t="s">
        <v>1446</v>
      </c>
      <c r="AB808" s="32">
        <v>1256.3</v>
      </c>
      <c r="AC808" s="35"/>
      <c r="AH808" s="32" t="s">
        <v>397</v>
      </c>
      <c r="AI808" s="32" t="s">
        <v>2268</v>
      </c>
      <c r="AK808" s="40" t="s">
        <v>1295</v>
      </c>
      <c r="AL808" s="32">
        <v>2014</v>
      </c>
      <c r="AM808" s="32" t="s">
        <v>1296</v>
      </c>
      <c r="AN808" s="32" t="s">
        <v>1297</v>
      </c>
      <c r="AO808" s="38" t="s">
        <v>1298</v>
      </c>
      <c r="AP808" s="35" t="s">
        <v>396</v>
      </c>
    </row>
    <row r="809" spans="1:42" x14ac:dyDescent="0.2">
      <c r="A809" s="40">
        <v>80</v>
      </c>
      <c r="B809" s="40">
        <v>808</v>
      </c>
      <c r="C809" s="40" t="s">
        <v>39</v>
      </c>
      <c r="D809" s="38" t="s">
        <v>38</v>
      </c>
      <c r="E809" s="32" t="s">
        <v>2183</v>
      </c>
      <c r="F809" s="32" t="s">
        <v>237</v>
      </c>
      <c r="G809" s="38" t="s">
        <v>1923</v>
      </c>
      <c r="H809" s="32" t="s">
        <v>151</v>
      </c>
      <c r="I809" s="32" t="s">
        <v>120</v>
      </c>
      <c r="J809" s="32" t="s">
        <v>1301</v>
      </c>
      <c r="K809" s="32" t="s">
        <v>1513</v>
      </c>
      <c r="L809" s="32" t="s">
        <v>30</v>
      </c>
      <c r="M809" s="32" t="s">
        <v>30</v>
      </c>
      <c r="N809" s="40">
        <v>2020</v>
      </c>
      <c r="O809" s="32">
        <f>VLOOKUP(Data!N1051, CPI!$A$2:$B$112, 2, 0)</f>
        <v>240.00700000000001</v>
      </c>
      <c r="P809" s="32" t="s">
        <v>7</v>
      </c>
      <c r="Q809" s="32" t="s">
        <v>250</v>
      </c>
      <c r="R809" s="32" t="s">
        <v>1311</v>
      </c>
      <c r="S809" s="32">
        <v>3326769000000</v>
      </c>
      <c r="T809" s="32" t="s">
        <v>1310</v>
      </c>
      <c r="U809" s="32">
        <f t="shared" ref="U809:U816" si="44">S809/AB809</f>
        <v>134687004.048583</v>
      </c>
      <c r="V809" s="32" t="s">
        <v>2524</v>
      </c>
      <c r="W809" s="32">
        <f>VLOOKUP(N809, 'Exchange rate- Vietnam'!$A$2:$B$65, 2, 0)</f>
        <v>23208.368333333299</v>
      </c>
      <c r="X809" s="32">
        <f t="shared" ref="X809:X816" si="45">U809/W809</f>
        <v>5803.3810095618473</v>
      </c>
      <c r="Y809" s="32">
        <f>(CPI!$B$112/O809)*X809</f>
        <v>7367.0987304746222</v>
      </c>
      <c r="Z809" s="38" t="s">
        <v>1262</v>
      </c>
      <c r="AA809" s="35" t="s">
        <v>1446</v>
      </c>
      <c r="AB809" s="32">
        <f t="shared" ref="AB809:AB816" si="46">20300+4400</f>
        <v>24700</v>
      </c>
      <c r="AH809" s="32" t="s">
        <v>411</v>
      </c>
      <c r="AI809" s="32" t="s">
        <v>2529</v>
      </c>
      <c r="AJ809" s="35" t="s">
        <v>2278</v>
      </c>
      <c r="AK809" s="40" t="s">
        <v>1315</v>
      </c>
      <c r="AL809" s="32">
        <v>2011</v>
      </c>
      <c r="AM809" s="32" t="s">
        <v>1316</v>
      </c>
      <c r="AN809" s="32" t="s">
        <v>1317</v>
      </c>
      <c r="AO809" s="38" t="s">
        <v>1318</v>
      </c>
      <c r="AP809" s="35" t="s">
        <v>396</v>
      </c>
    </row>
    <row r="810" spans="1:42" x14ac:dyDescent="0.2">
      <c r="A810" s="40">
        <v>80</v>
      </c>
      <c r="B810" s="40">
        <v>809</v>
      </c>
      <c r="C810" s="40" t="s">
        <v>39</v>
      </c>
      <c r="D810" s="38" t="s">
        <v>38</v>
      </c>
      <c r="E810" s="32" t="s">
        <v>2183</v>
      </c>
      <c r="F810" s="32" t="s">
        <v>237</v>
      </c>
      <c r="G810" s="38" t="s">
        <v>1923</v>
      </c>
      <c r="H810" s="32" t="s">
        <v>151</v>
      </c>
      <c r="I810" s="32" t="s">
        <v>120</v>
      </c>
      <c r="J810" s="32" t="s">
        <v>1301</v>
      </c>
      <c r="K810" s="32" t="s">
        <v>1513</v>
      </c>
      <c r="L810" s="32" t="s">
        <v>30</v>
      </c>
      <c r="M810" s="32" t="s">
        <v>30</v>
      </c>
      <c r="N810" s="40">
        <v>2020</v>
      </c>
      <c r="O810" s="32">
        <f>VLOOKUP(Data!N1052, CPI!$A$2:$B$112, 2, 0)</f>
        <v>240.00700000000001</v>
      </c>
      <c r="P810" s="32" t="s">
        <v>7</v>
      </c>
      <c r="Q810" s="32" t="s">
        <v>250</v>
      </c>
      <c r="R810" s="32" t="s">
        <v>1312</v>
      </c>
      <c r="S810" s="32">
        <v>6423326000000</v>
      </c>
      <c r="T810" s="32" t="s">
        <v>1310</v>
      </c>
      <c r="U810" s="32">
        <f t="shared" si="44"/>
        <v>260053684.21052632</v>
      </c>
      <c r="V810" s="32" t="s">
        <v>2524</v>
      </c>
      <c r="W810" s="32">
        <f>VLOOKUP(N810, 'Exchange rate- Vietnam'!$A$2:$B$65, 2, 0)</f>
        <v>23208.368333333299</v>
      </c>
      <c r="X810" s="32">
        <f t="shared" si="45"/>
        <v>11205.168776859728</v>
      </c>
      <c r="Y810" s="32">
        <f>(CPI!$B$112/O810)*X810</f>
        <v>14224.395147371106</v>
      </c>
      <c r="Z810" s="38" t="s">
        <v>1262</v>
      </c>
      <c r="AA810" s="35" t="s">
        <v>1446</v>
      </c>
      <c r="AB810" s="32">
        <f t="shared" si="46"/>
        <v>24700</v>
      </c>
      <c r="AH810" s="32" t="s">
        <v>411</v>
      </c>
      <c r="AJ810" s="35" t="s">
        <v>2278</v>
      </c>
      <c r="AK810" s="40" t="s">
        <v>1315</v>
      </c>
      <c r="AL810" s="32">
        <v>2011</v>
      </c>
      <c r="AM810" s="32" t="s">
        <v>1316</v>
      </c>
      <c r="AN810" s="32" t="s">
        <v>1317</v>
      </c>
      <c r="AO810" s="38" t="s">
        <v>1318</v>
      </c>
      <c r="AP810" s="35" t="s">
        <v>396</v>
      </c>
    </row>
    <row r="811" spans="1:42" x14ac:dyDescent="0.2">
      <c r="A811" s="40">
        <v>80</v>
      </c>
      <c r="B811" s="40">
        <v>810</v>
      </c>
      <c r="C811" s="40" t="s">
        <v>39</v>
      </c>
      <c r="D811" s="38" t="s">
        <v>38</v>
      </c>
      <c r="E811" s="32" t="s">
        <v>2183</v>
      </c>
      <c r="F811" s="32" t="s">
        <v>237</v>
      </c>
      <c r="G811" s="38" t="s">
        <v>1923</v>
      </c>
      <c r="H811" s="32" t="s">
        <v>151</v>
      </c>
      <c r="I811" s="32" t="s">
        <v>120</v>
      </c>
      <c r="J811" s="32" t="s">
        <v>1301</v>
      </c>
      <c r="K811" s="32" t="s">
        <v>1513</v>
      </c>
      <c r="L811" s="32" t="s">
        <v>30</v>
      </c>
      <c r="M811" s="32" t="s">
        <v>30</v>
      </c>
      <c r="N811" s="40">
        <v>2020</v>
      </c>
      <c r="O811" s="32">
        <f>VLOOKUP(Data!N1053, CPI!$A$2:$B$112, 2, 0)</f>
        <v>240.00700000000001</v>
      </c>
      <c r="P811" s="32" t="s">
        <v>7</v>
      </c>
      <c r="Q811" s="32" t="s">
        <v>250</v>
      </c>
      <c r="R811" s="32" t="s">
        <v>1313</v>
      </c>
      <c r="S811" s="32">
        <v>2660827000000</v>
      </c>
      <c r="T811" s="32" t="s">
        <v>1310</v>
      </c>
      <c r="U811" s="32">
        <f t="shared" si="44"/>
        <v>107725789.47368421</v>
      </c>
      <c r="V811" s="32" t="s">
        <v>2524</v>
      </c>
      <c r="W811" s="32">
        <f>VLOOKUP(N811, 'Exchange rate- Vietnam'!$A$2:$B$65, 2, 0)</f>
        <v>23208.368333333299</v>
      </c>
      <c r="X811" s="32">
        <f t="shared" si="45"/>
        <v>4641.6787223667825</v>
      </c>
      <c r="Y811" s="32">
        <f>(CPI!$B$112/O811)*X811</f>
        <v>5892.3764209996525</v>
      </c>
      <c r="Z811" s="38" t="s">
        <v>1262</v>
      </c>
      <c r="AA811" s="35" t="s">
        <v>1446</v>
      </c>
      <c r="AB811" s="32">
        <f t="shared" si="46"/>
        <v>24700</v>
      </c>
      <c r="AH811" s="32" t="s">
        <v>411</v>
      </c>
      <c r="AJ811" s="35" t="s">
        <v>2278</v>
      </c>
      <c r="AK811" s="40" t="s">
        <v>1315</v>
      </c>
      <c r="AL811" s="32">
        <v>2011</v>
      </c>
      <c r="AM811" s="32" t="s">
        <v>1316</v>
      </c>
      <c r="AN811" s="32" t="s">
        <v>1317</v>
      </c>
      <c r="AO811" s="38" t="s">
        <v>1318</v>
      </c>
      <c r="AP811" s="35" t="s">
        <v>396</v>
      </c>
    </row>
    <row r="812" spans="1:42" x14ac:dyDescent="0.2">
      <c r="A812" s="40">
        <v>80</v>
      </c>
      <c r="B812" s="40">
        <v>811</v>
      </c>
      <c r="C812" s="40" t="s">
        <v>39</v>
      </c>
      <c r="D812" s="38" t="s">
        <v>38</v>
      </c>
      <c r="E812" s="32" t="s">
        <v>2183</v>
      </c>
      <c r="F812" s="32" t="s">
        <v>237</v>
      </c>
      <c r="G812" s="38" t="s">
        <v>1923</v>
      </c>
      <c r="H812" s="32" t="s">
        <v>151</v>
      </c>
      <c r="I812" s="32" t="s">
        <v>120</v>
      </c>
      <c r="J812" s="32" t="s">
        <v>1301</v>
      </c>
      <c r="K812" s="32" t="s">
        <v>1513</v>
      </c>
      <c r="L812" s="32" t="s">
        <v>30</v>
      </c>
      <c r="M812" s="32" t="s">
        <v>30</v>
      </c>
      <c r="N812" s="40">
        <v>2020</v>
      </c>
      <c r="O812" s="32">
        <f>VLOOKUP(Data!N1054, CPI!$A$2:$B$112, 2, 0)</f>
        <v>240.00700000000001</v>
      </c>
      <c r="P812" s="32" t="s">
        <v>7</v>
      </c>
      <c r="Q812" s="32" t="s">
        <v>250</v>
      </c>
      <c r="R812" s="32" t="s">
        <v>1314</v>
      </c>
      <c r="S812" s="32">
        <v>4814809000000</v>
      </c>
      <c r="T812" s="32" t="s">
        <v>1310</v>
      </c>
      <c r="U812" s="32">
        <f t="shared" si="44"/>
        <v>194931538.46153846</v>
      </c>
      <c r="V812" s="32" t="s">
        <v>2524</v>
      </c>
      <c r="W812" s="32">
        <f>VLOOKUP(N812, 'Exchange rate- Vietnam'!$A$2:$B$65, 2, 0)</f>
        <v>23208.368333333299</v>
      </c>
      <c r="X812" s="32">
        <f t="shared" si="45"/>
        <v>8399.1918631162753</v>
      </c>
      <c r="Y812" s="32">
        <f>(CPI!$B$112/O812)*X812</f>
        <v>10662.349345980374</v>
      </c>
      <c r="Z812" s="38" t="s">
        <v>1262</v>
      </c>
      <c r="AA812" s="35" t="s">
        <v>1446</v>
      </c>
      <c r="AB812" s="32">
        <f t="shared" si="46"/>
        <v>24700</v>
      </c>
      <c r="AH812" s="32" t="s">
        <v>411</v>
      </c>
      <c r="AJ812" s="35" t="s">
        <v>2278</v>
      </c>
      <c r="AK812" s="40" t="s">
        <v>1315</v>
      </c>
      <c r="AL812" s="32">
        <v>2011</v>
      </c>
      <c r="AM812" s="32" t="s">
        <v>1316</v>
      </c>
      <c r="AN812" s="32" t="s">
        <v>1317</v>
      </c>
      <c r="AO812" s="38" t="s">
        <v>1318</v>
      </c>
      <c r="AP812" s="35" t="s">
        <v>396</v>
      </c>
    </row>
    <row r="813" spans="1:42" x14ac:dyDescent="0.2">
      <c r="A813" s="40">
        <v>80</v>
      </c>
      <c r="B813" s="40">
        <v>812</v>
      </c>
      <c r="C813" s="40" t="s">
        <v>39</v>
      </c>
      <c r="D813" s="38" t="s">
        <v>38</v>
      </c>
      <c r="E813" s="32" t="s">
        <v>2183</v>
      </c>
      <c r="F813" s="32" t="s">
        <v>237</v>
      </c>
      <c r="G813" s="38" t="s">
        <v>1923</v>
      </c>
      <c r="H813" s="32" t="s">
        <v>151</v>
      </c>
      <c r="I813" s="32" t="s">
        <v>120</v>
      </c>
      <c r="J813" s="32" t="s">
        <v>1301</v>
      </c>
      <c r="K813" s="32" t="s">
        <v>1513</v>
      </c>
      <c r="L813" s="32" t="s">
        <v>30</v>
      </c>
      <c r="M813" s="32" t="s">
        <v>30</v>
      </c>
      <c r="N813" s="40">
        <v>2020</v>
      </c>
      <c r="O813" s="32">
        <f>VLOOKUP(Data!N1055, CPI!$A$2:$B$112, 2, 0)</f>
        <v>240.00700000000001</v>
      </c>
      <c r="P813" s="32" t="s">
        <v>7</v>
      </c>
      <c r="Q813" s="32" t="s">
        <v>250</v>
      </c>
      <c r="R813" s="32" t="s">
        <v>1306</v>
      </c>
      <c r="S813" s="32">
        <v>2984967000000</v>
      </c>
      <c r="T813" s="32" t="s">
        <v>1310</v>
      </c>
      <c r="U813" s="32">
        <f t="shared" si="44"/>
        <v>120848866.39676113</v>
      </c>
      <c r="V813" s="32" t="s">
        <v>2524</v>
      </c>
      <c r="W813" s="32">
        <f>VLOOKUP(N813, 'Exchange rate- Vietnam'!$A$2:$B$65, 2, 0)</f>
        <v>23208.368333333299</v>
      </c>
      <c r="X813" s="32">
        <f t="shared" si="45"/>
        <v>5207.1246311267168</v>
      </c>
      <c r="Y813" s="32">
        <f>(CPI!$B$112/O813)*X813</f>
        <v>6610.1814091115548</v>
      </c>
      <c r="Z813" s="38" t="s">
        <v>1262</v>
      </c>
      <c r="AA813" s="35" t="s">
        <v>1446</v>
      </c>
      <c r="AB813" s="32">
        <f t="shared" si="46"/>
        <v>24700</v>
      </c>
      <c r="AH813" s="32" t="s">
        <v>411</v>
      </c>
      <c r="AJ813" s="35" t="s">
        <v>2278</v>
      </c>
      <c r="AK813" s="40" t="s">
        <v>1315</v>
      </c>
      <c r="AL813" s="32">
        <v>2011</v>
      </c>
      <c r="AM813" s="32" t="s">
        <v>1316</v>
      </c>
      <c r="AN813" s="32" t="s">
        <v>1317</v>
      </c>
      <c r="AO813" s="38" t="s">
        <v>1318</v>
      </c>
      <c r="AP813" s="35" t="s">
        <v>396</v>
      </c>
    </row>
    <row r="814" spans="1:42" x14ac:dyDescent="0.2">
      <c r="A814" s="40">
        <v>80</v>
      </c>
      <c r="B814" s="40">
        <v>813</v>
      </c>
      <c r="C814" s="40" t="s">
        <v>39</v>
      </c>
      <c r="D814" s="38" t="s">
        <v>38</v>
      </c>
      <c r="E814" s="32" t="s">
        <v>2183</v>
      </c>
      <c r="F814" s="32" t="s">
        <v>237</v>
      </c>
      <c r="G814" s="38" t="s">
        <v>1923</v>
      </c>
      <c r="H814" s="32" t="s">
        <v>151</v>
      </c>
      <c r="I814" s="32" t="s">
        <v>120</v>
      </c>
      <c r="J814" s="32" t="s">
        <v>1301</v>
      </c>
      <c r="K814" s="32" t="s">
        <v>1513</v>
      </c>
      <c r="L814" s="32" t="s">
        <v>30</v>
      </c>
      <c r="M814" s="32" t="s">
        <v>30</v>
      </c>
      <c r="N814" s="40">
        <v>2020</v>
      </c>
      <c r="O814" s="32">
        <f>VLOOKUP(Data!N1056, CPI!$A$2:$B$112, 2, 0)</f>
        <v>240.00700000000001</v>
      </c>
      <c r="P814" s="32" t="s">
        <v>7</v>
      </c>
      <c r="Q814" s="32" t="s">
        <v>250</v>
      </c>
      <c r="R814" s="32" t="s">
        <v>1307</v>
      </c>
      <c r="S814" s="32">
        <v>5590406000000</v>
      </c>
      <c r="T814" s="32" t="s">
        <v>1310</v>
      </c>
      <c r="U814" s="32">
        <f t="shared" si="44"/>
        <v>226332226.72064778</v>
      </c>
      <c r="V814" s="32" t="s">
        <v>2524</v>
      </c>
      <c r="W814" s="32">
        <f>VLOOKUP(N814, 'Exchange rate- Vietnam'!$A$2:$B$65, 2, 0)</f>
        <v>23208.368333333299</v>
      </c>
      <c r="X814" s="32">
        <f t="shared" si="45"/>
        <v>9752.1817764144744</v>
      </c>
      <c r="Y814" s="32">
        <f>(CPI!$B$112/O814)*X814</f>
        <v>12379.901623899255</v>
      </c>
      <c r="Z814" s="38" t="s">
        <v>1262</v>
      </c>
      <c r="AA814" s="35" t="s">
        <v>1446</v>
      </c>
      <c r="AB814" s="32">
        <f t="shared" si="46"/>
        <v>24700</v>
      </c>
      <c r="AH814" s="32" t="s">
        <v>411</v>
      </c>
      <c r="AJ814" s="35" t="s">
        <v>2278</v>
      </c>
      <c r="AK814" s="40" t="s">
        <v>1315</v>
      </c>
      <c r="AL814" s="32">
        <v>2011</v>
      </c>
      <c r="AM814" s="32" t="s">
        <v>1316</v>
      </c>
      <c r="AN814" s="32" t="s">
        <v>1317</v>
      </c>
      <c r="AO814" s="38" t="s">
        <v>1318</v>
      </c>
      <c r="AP814" s="35" t="s">
        <v>396</v>
      </c>
    </row>
    <row r="815" spans="1:42" x14ac:dyDescent="0.2">
      <c r="A815" s="40">
        <v>80</v>
      </c>
      <c r="B815" s="40">
        <v>814</v>
      </c>
      <c r="C815" s="40" t="s">
        <v>39</v>
      </c>
      <c r="D815" s="38" t="s">
        <v>38</v>
      </c>
      <c r="E815" s="32" t="s">
        <v>2183</v>
      </c>
      <c r="F815" s="32" t="s">
        <v>237</v>
      </c>
      <c r="G815" s="38" t="s">
        <v>1923</v>
      </c>
      <c r="H815" s="32" t="s">
        <v>151</v>
      </c>
      <c r="I815" s="32" t="s">
        <v>120</v>
      </c>
      <c r="J815" s="32" t="s">
        <v>1301</v>
      </c>
      <c r="K815" s="32" t="s">
        <v>1513</v>
      </c>
      <c r="L815" s="32" t="s">
        <v>30</v>
      </c>
      <c r="M815" s="32" t="s">
        <v>30</v>
      </c>
      <c r="N815" s="40">
        <v>2020</v>
      </c>
      <c r="O815" s="32">
        <f>VLOOKUP(Data!N1057, CPI!$A$2:$B$112, 2, 0)</f>
        <v>224.93899999999999</v>
      </c>
      <c r="P815" s="32" t="s">
        <v>7</v>
      </c>
      <c r="Q815" s="32" t="s">
        <v>250</v>
      </c>
      <c r="R815" s="32" t="s">
        <v>1308</v>
      </c>
      <c r="S815" s="32">
        <v>2399480000000</v>
      </c>
      <c r="T815" s="32" t="s">
        <v>1310</v>
      </c>
      <c r="U815" s="32">
        <f t="shared" si="44"/>
        <v>97144939.271255061</v>
      </c>
      <c r="V815" s="32" t="s">
        <v>2524</v>
      </c>
      <c r="W815" s="32">
        <f>VLOOKUP(N815, 'Exchange rate- Vietnam'!$A$2:$B$65, 2, 0)</f>
        <v>23208.368333333299</v>
      </c>
      <c r="X815" s="32">
        <f t="shared" si="45"/>
        <v>4185.7720403260519</v>
      </c>
      <c r="Y815" s="32">
        <f>(CPI!$B$112/O815)*X815</f>
        <v>5669.5700678291023</v>
      </c>
      <c r="Z815" s="38" t="s">
        <v>1262</v>
      </c>
      <c r="AA815" s="35" t="s">
        <v>1446</v>
      </c>
      <c r="AB815" s="32">
        <f t="shared" si="46"/>
        <v>24700</v>
      </c>
      <c r="AH815" s="32" t="s">
        <v>411</v>
      </c>
      <c r="AJ815" s="35" t="s">
        <v>2278</v>
      </c>
      <c r="AK815" s="40" t="s">
        <v>1315</v>
      </c>
      <c r="AL815" s="32">
        <v>2011</v>
      </c>
      <c r="AM815" s="32" t="s">
        <v>1316</v>
      </c>
      <c r="AN815" s="32" t="s">
        <v>1317</v>
      </c>
      <c r="AO815" s="38" t="s">
        <v>1318</v>
      </c>
      <c r="AP815" s="35" t="s">
        <v>396</v>
      </c>
    </row>
    <row r="816" spans="1:42" x14ac:dyDescent="0.2">
      <c r="A816" s="40">
        <v>80</v>
      </c>
      <c r="B816" s="40">
        <v>815</v>
      </c>
      <c r="C816" s="40" t="s">
        <v>39</v>
      </c>
      <c r="D816" s="38" t="s">
        <v>38</v>
      </c>
      <c r="E816" s="32" t="s">
        <v>2183</v>
      </c>
      <c r="F816" s="32" t="s">
        <v>237</v>
      </c>
      <c r="G816" s="38" t="s">
        <v>1923</v>
      </c>
      <c r="H816" s="32" t="s">
        <v>151</v>
      </c>
      <c r="I816" s="32" t="s">
        <v>120</v>
      </c>
      <c r="J816" s="32" t="s">
        <v>1301</v>
      </c>
      <c r="K816" s="32" t="s">
        <v>1513</v>
      </c>
      <c r="L816" s="32" t="s">
        <v>30</v>
      </c>
      <c r="M816" s="32" t="s">
        <v>30</v>
      </c>
      <c r="N816" s="40">
        <v>2020</v>
      </c>
      <c r="O816" s="32">
        <f>VLOOKUP(Data!N1058, CPI!$A$2:$B$112, 2, 0)</f>
        <v>224.93899999999999</v>
      </c>
      <c r="P816" s="32" t="s">
        <v>7</v>
      </c>
      <c r="Q816" s="32" t="s">
        <v>250</v>
      </c>
      <c r="R816" s="32" t="s">
        <v>1309</v>
      </c>
      <c r="S816" s="32">
        <v>4201313000000</v>
      </c>
      <c r="T816" s="32" t="s">
        <v>1310</v>
      </c>
      <c r="U816" s="32">
        <f t="shared" si="44"/>
        <v>170093643.72469637</v>
      </c>
      <c r="V816" s="32" t="s">
        <v>2524</v>
      </c>
      <c r="W816" s="32">
        <f>VLOOKUP(N816, 'Exchange rate- Vietnam'!$A$2:$B$65, 2, 0)</f>
        <v>23208.368333333299</v>
      </c>
      <c r="X816" s="32">
        <f t="shared" si="45"/>
        <v>7328.978982137116</v>
      </c>
      <c r="Y816" s="32">
        <f>(CPI!$B$112/O816)*X816</f>
        <v>9927.0001960346781</v>
      </c>
      <c r="Z816" s="38" t="s">
        <v>1262</v>
      </c>
      <c r="AA816" s="35" t="s">
        <v>1446</v>
      </c>
      <c r="AB816" s="32">
        <f t="shared" si="46"/>
        <v>24700</v>
      </c>
      <c r="AH816" s="32" t="s">
        <v>411</v>
      </c>
      <c r="AJ816" s="35" t="s">
        <v>2278</v>
      </c>
      <c r="AK816" s="40" t="s">
        <v>1315</v>
      </c>
      <c r="AL816" s="32">
        <v>2011</v>
      </c>
      <c r="AM816" s="32" t="s">
        <v>1316</v>
      </c>
      <c r="AN816" s="32" t="s">
        <v>1317</v>
      </c>
      <c r="AO816" s="38" t="s">
        <v>1318</v>
      </c>
      <c r="AP816" s="35" t="s">
        <v>396</v>
      </c>
    </row>
    <row r="817" spans="1:42" x14ac:dyDescent="0.2">
      <c r="A817" s="40">
        <v>80</v>
      </c>
      <c r="B817" s="40">
        <v>816</v>
      </c>
      <c r="C817" s="40" t="s">
        <v>39</v>
      </c>
      <c r="D817" s="38" t="s">
        <v>38</v>
      </c>
      <c r="E817" s="32" t="s">
        <v>2183</v>
      </c>
      <c r="F817" s="32" t="s">
        <v>237</v>
      </c>
      <c r="G817" s="38" t="s">
        <v>1923</v>
      </c>
      <c r="H817" s="32" t="s">
        <v>151</v>
      </c>
      <c r="I817" s="32" t="s">
        <v>120</v>
      </c>
      <c r="J817" s="32" t="s">
        <v>1299</v>
      </c>
      <c r="K817" s="32" t="s">
        <v>1513</v>
      </c>
      <c r="L817" s="32" t="s">
        <v>30</v>
      </c>
      <c r="M817" s="32" t="s">
        <v>30</v>
      </c>
      <c r="N817" s="40">
        <v>2008</v>
      </c>
      <c r="O817" s="32">
        <f>VLOOKUP(Data!N1497, CPI!$A$2:$B$112, 2, 0)</f>
        <v>245.12</v>
      </c>
      <c r="P817" s="32" t="s">
        <v>7</v>
      </c>
      <c r="Q817" s="32" t="s">
        <v>239</v>
      </c>
      <c r="R817" s="32" t="s">
        <v>1302</v>
      </c>
      <c r="S817" s="32">
        <v>26270000</v>
      </c>
      <c r="T817" s="32" t="s">
        <v>2527</v>
      </c>
      <c r="Z817" s="38" t="s">
        <v>1262</v>
      </c>
      <c r="AA817" s="35" t="s">
        <v>1445</v>
      </c>
      <c r="AB817" s="32">
        <v>20300</v>
      </c>
      <c r="AH817" s="32" t="s">
        <v>411</v>
      </c>
      <c r="AK817" s="40" t="s">
        <v>1315</v>
      </c>
      <c r="AL817" s="32">
        <v>2011</v>
      </c>
      <c r="AM817" s="32" t="s">
        <v>1316</v>
      </c>
      <c r="AN817" s="32" t="s">
        <v>1317</v>
      </c>
      <c r="AO817" s="38" t="s">
        <v>1318</v>
      </c>
      <c r="AP817" s="35" t="s">
        <v>396</v>
      </c>
    </row>
    <row r="818" spans="1:42" x14ac:dyDescent="0.2">
      <c r="A818" s="40">
        <v>80</v>
      </c>
      <c r="B818" s="40">
        <v>817</v>
      </c>
      <c r="C818" s="40" t="s">
        <v>39</v>
      </c>
      <c r="D818" s="38" t="s">
        <v>38</v>
      </c>
      <c r="E818" s="32" t="s">
        <v>2183</v>
      </c>
      <c r="F818" s="32" t="s">
        <v>237</v>
      </c>
      <c r="G818" s="38" t="s">
        <v>1923</v>
      </c>
      <c r="H818" s="32" t="s">
        <v>151</v>
      </c>
      <c r="I818" s="32" t="s">
        <v>120</v>
      </c>
      <c r="J818" s="32" t="s">
        <v>1299</v>
      </c>
      <c r="K818" s="32" t="s">
        <v>1513</v>
      </c>
      <c r="L818" s="32" t="s">
        <v>30</v>
      </c>
      <c r="M818" s="32" t="s">
        <v>30</v>
      </c>
      <c r="N818" s="40">
        <v>2008</v>
      </c>
      <c r="O818" s="32">
        <f>VLOOKUP(Data!N1498, CPI!$A$2:$B$112, 2, 0)</f>
        <v>240.00700000000001</v>
      </c>
      <c r="P818" s="32" t="s">
        <v>7</v>
      </c>
      <c r="Q818" s="32" t="s">
        <v>239</v>
      </c>
      <c r="R818" s="32" t="s">
        <v>1303</v>
      </c>
      <c r="S818" s="32">
        <v>30040000</v>
      </c>
      <c r="T818" s="32" t="s">
        <v>2527</v>
      </c>
      <c r="Z818" s="38" t="s">
        <v>1262</v>
      </c>
      <c r="AA818" s="35" t="s">
        <v>1445</v>
      </c>
      <c r="AB818" s="32">
        <v>20300</v>
      </c>
      <c r="AH818" s="32" t="s">
        <v>411</v>
      </c>
      <c r="AK818" s="40" t="s">
        <v>1315</v>
      </c>
      <c r="AL818" s="32">
        <v>2011</v>
      </c>
      <c r="AM818" s="32" t="s">
        <v>1316</v>
      </c>
      <c r="AN818" s="32" t="s">
        <v>1317</v>
      </c>
      <c r="AO818" s="38" t="s">
        <v>1318</v>
      </c>
      <c r="AP818" s="35" t="s">
        <v>396</v>
      </c>
    </row>
    <row r="819" spans="1:42" x14ac:dyDescent="0.2">
      <c r="A819" s="40">
        <v>80</v>
      </c>
      <c r="B819" s="40">
        <v>818</v>
      </c>
      <c r="C819" s="40" t="s">
        <v>39</v>
      </c>
      <c r="D819" s="38" t="s">
        <v>38</v>
      </c>
      <c r="E819" s="32" t="s">
        <v>2183</v>
      </c>
      <c r="F819" s="32" t="s">
        <v>237</v>
      </c>
      <c r="G819" s="38" t="s">
        <v>1923</v>
      </c>
      <c r="H819" s="32" t="s">
        <v>151</v>
      </c>
      <c r="I819" s="32" t="s">
        <v>120</v>
      </c>
      <c r="J819" s="32" t="s">
        <v>1299</v>
      </c>
      <c r="K819" s="32" t="s">
        <v>1513</v>
      </c>
      <c r="L819" s="32" t="s">
        <v>30</v>
      </c>
      <c r="M819" s="32" t="s">
        <v>30</v>
      </c>
      <c r="N819" s="40">
        <v>2008</v>
      </c>
      <c r="O819" s="32">
        <f>VLOOKUP(Data!N1499, CPI!$A$2:$B$112, 2, 0)</f>
        <v>240.00700000000001</v>
      </c>
      <c r="P819" s="32" t="s">
        <v>7</v>
      </c>
      <c r="Q819" s="32" t="s">
        <v>239</v>
      </c>
      <c r="R819" s="32" t="s">
        <v>1304</v>
      </c>
      <c r="S819" s="32">
        <v>22470000</v>
      </c>
      <c r="T819" s="32" t="s">
        <v>2527</v>
      </c>
      <c r="Z819" s="38" t="s">
        <v>1262</v>
      </c>
      <c r="AA819" s="35" t="s">
        <v>1445</v>
      </c>
      <c r="AB819" s="32">
        <v>20300</v>
      </c>
      <c r="AH819" s="32" t="s">
        <v>411</v>
      </c>
      <c r="AK819" s="40" t="s">
        <v>1315</v>
      </c>
      <c r="AL819" s="32">
        <v>2011</v>
      </c>
      <c r="AM819" s="32" t="s">
        <v>1316</v>
      </c>
      <c r="AN819" s="32" t="s">
        <v>1317</v>
      </c>
      <c r="AO819" s="38" t="s">
        <v>1318</v>
      </c>
      <c r="AP819" s="35" t="s">
        <v>396</v>
      </c>
    </row>
    <row r="820" spans="1:42" x14ac:dyDescent="0.2">
      <c r="A820" s="40">
        <v>80</v>
      </c>
      <c r="B820" s="40">
        <v>819</v>
      </c>
      <c r="C820" s="40" t="s">
        <v>39</v>
      </c>
      <c r="D820" s="38" t="s">
        <v>38</v>
      </c>
      <c r="E820" s="32" t="s">
        <v>2183</v>
      </c>
      <c r="F820" s="32" t="s">
        <v>237</v>
      </c>
      <c r="G820" s="38" t="s">
        <v>1923</v>
      </c>
      <c r="H820" s="32" t="s">
        <v>151</v>
      </c>
      <c r="I820" s="32" t="s">
        <v>120</v>
      </c>
      <c r="J820" s="32" t="s">
        <v>1300</v>
      </c>
      <c r="K820" s="32" t="s">
        <v>1513</v>
      </c>
      <c r="L820" s="32" t="s">
        <v>30</v>
      </c>
      <c r="M820" s="32" t="s">
        <v>30</v>
      </c>
      <c r="N820" s="40">
        <v>2008</v>
      </c>
      <c r="O820" s="32">
        <f>VLOOKUP(Data!N1500, CPI!$A$2:$B$112, 2, 0)</f>
        <v>240.00700000000001</v>
      </c>
      <c r="P820" s="32" t="s">
        <v>7</v>
      </c>
      <c r="Q820" s="32" t="s">
        <v>239</v>
      </c>
      <c r="R820" s="32" t="s">
        <v>1302</v>
      </c>
      <c r="S820" s="32">
        <v>34750000</v>
      </c>
      <c r="T820" s="32" t="s">
        <v>2527</v>
      </c>
      <c r="Z820" s="38" t="s">
        <v>1262</v>
      </c>
      <c r="AA820" s="35" t="s">
        <v>1445</v>
      </c>
      <c r="AB820" s="32">
        <v>4400</v>
      </c>
      <c r="AH820" s="32" t="s">
        <v>411</v>
      </c>
      <c r="AK820" s="40" t="s">
        <v>1315</v>
      </c>
      <c r="AL820" s="32">
        <v>2011</v>
      </c>
      <c r="AM820" s="32" t="s">
        <v>1316</v>
      </c>
      <c r="AN820" s="32" t="s">
        <v>1317</v>
      </c>
      <c r="AO820" s="38" t="s">
        <v>1318</v>
      </c>
      <c r="AP820" s="35" t="s">
        <v>396</v>
      </c>
    </row>
    <row r="821" spans="1:42" x14ac:dyDescent="0.2">
      <c r="A821" s="40">
        <v>80</v>
      </c>
      <c r="B821" s="40">
        <v>820</v>
      </c>
      <c r="C821" s="40" t="s">
        <v>39</v>
      </c>
      <c r="D821" s="38" t="s">
        <v>38</v>
      </c>
      <c r="E821" s="32" t="s">
        <v>2183</v>
      </c>
      <c r="F821" s="32" t="s">
        <v>237</v>
      </c>
      <c r="G821" s="38" t="s">
        <v>1923</v>
      </c>
      <c r="H821" s="32" t="s">
        <v>151</v>
      </c>
      <c r="I821" s="32" t="s">
        <v>120</v>
      </c>
      <c r="J821" s="32" t="s">
        <v>1300</v>
      </c>
      <c r="K821" s="32" t="s">
        <v>1513</v>
      </c>
      <c r="L821" s="32" t="s">
        <v>30</v>
      </c>
      <c r="M821" s="32" t="s">
        <v>30</v>
      </c>
      <c r="N821" s="40">
        <v>2008</v>
      </c>
      <c r="O821" s="32">
        <f>VLOOKUP(Data!N1501, CPI!$A$2:$B$112, 2, 0)</f>
        <v>240.00700000000001</v>
      </c>
      <c r="P821" s="32" t="s">
        <v>7</v>
      </c>
      <c r="Q821" s="32" t="s">
        <v>239</v>
      </c>
      <c r="R821" s="32" t="s">
        <v>1303</v>
      </c>
      <c r="S821" s="32">
        <v>35910000</v>
      </c>
      <c r="T821" s="32" t="s">
        <v>2527</v>
      </c>
      <c r="Z821" s="38" t="s">
        <v>1262</v>
      </c>
      <c r="AA821" s="35" t="s">
        <v>1445</v>
      </c>
      <c r="AB821" s="32">
        <v>4400</v>
      </c>
      <c r="AH821" s="32" t="s">
        <v>411</v>
      </c>
      <c r="AK821" s="40" t="s">
        <v>1315</v>
      </c>
      <c r="AL821" s="32">
        <v>2011</v>
      </c>
      <c r="AM821" s="32" t="s">
        <v>1316</v>
      </c>
      <c r="AN821" s="32" t="s">
        <v>1317</v>
      </c>
      <c r="AO821" s="38" t="s">
        <v>1318</v>
      </c>
      <c r="AP821" s="35" t="s">
        <v>396</v>
      </c>
    </row>
    <row r="822" spans="1:42" x14ac:dyDescent="0.2">
      <c r="A822" s="40">
        <v>80</v>
      </c>
      <c r="B822" s="40">
        <v>821</v>
      </c>
      <c r="C822" s="40" t="s">
        <v>39</v>
      </c>
      <c r="D822" s="38" t="s">
        <v>38</v>
      </c>
      <c r="E822" s="32" t="s">
        <v>2183</v>
      </c>
      <c r="F822" s="32" t="s">
        <v>237</v>
      </c>
      <c r="G822" s="38" t="s">
        <v>1923</v>
      </c>
      <c r="H822" s="32" t="s">
        <v>151</v>
      </c>
      <c r="I822" s="32" t="s">
        <v>120</v>
      </c>
      <c r="J822" s="32" t="s">
        <v>1300</v>
      </c>
      <c r="K822" s="32" t="s">
        <v>1513</v>
      </c>
      <c r="L822" s="32" t="s">
        <v>30</v>
      </c>
      <c r="M822" s="32" t="s">
        <v>30</v>
      </c>
      <c r="N822" s="40">
        <v>2008</v>
      </c>
      <c r="O822" s="32">
        <f>VLOOKUP(Data!N1502, CPI!$A$2:$B$112, 2, 0)</f>
        <v>237.017</v>
      </c>
      <c r="P822" s="32" t="s">
        <v>7</v>
      </c>
      <c r="Q822" s="32" t="s">
        <v>239</v>
      </c>
      <c r="R822" s="32" t="s">
        <v>1304</v>
      </c>
      <c r="S822" s="32">
        <v>28930000</v>
      </c>
      <c r="T822" s="32" t="s">
        <v>2527</v>
      </c>
      <c r="Z822" s="38" t="s">
        <v>1262</v>
      </c>
      <c r="AA822" s="35" t="s">
        <v>1445</v>
      </c>
      <c r="AB822" s="32">
        <v>4400</v>
      </c>
      <c r="AH822" s="32" t="s">
        <v>411</v>
      </c>
      <c r="AK822" s="40" t="s">
        <v>1315</v>
      </c>
      <c r="AL822" s="32">
        <v>2011</v>
      </c>
      <c r="AM822" s="32" t="s">
        <v>1316</v>
      </c>
      <c r="AN822" s="32" t="s">
        <v>1317</v>
      </c>
      <c r="AO822" s="38" t="s">
        <v>1318</v>
      </c>
      <c r="AP822" s="35" t="s">
        <v>396</v>
      </c>
    </row>
    <row r="823" spans="1:42" x14ac:dyDescent="0.2">
      <c r="A823" s="40">
        <v>80</v>
      </c>
      <c r="B823" s="40">
        <v>822</v>
      </c>
      <c r="C823" s="40" t="s">
        <v>39</v>
      </c>
      <c r="D823" s="38" t="s">
        <v>38</v>
      </c>
      <c r="E823" s="32" t="s">
        <v>2183</v>
      </c>
      <c r="F823" s="32" t="s">
        <v>237</v>
      </c>
      <c r="G823" s="38" t="s">
        <v>1923</v>
      </c>
      <c r="H823" s="32" t="s">
        <v>151</v>
      </c>
      <c r="I823" s="32" t="s">
        <v>120</v>
      </c>
      <c r="J823" s="32" t="s">
        <v>1301</v>
      </c>
      <c r="K823" s="32" t="s">
        <v>1513</v>
      </c>
      <c r="L823" s="32" t="s">
        <v>30</v>
      </c>
      <c r="M823" s="32" t="s">
        <v>30</v>
      </c>
      <c r="N823" s="40">
        <v>2008</v>
      </c>
      <c r="O823" s="32">
        <f>VLOOKUP(Data!N1503, CPI!$A$2:$B$112, 2, 0)</f>
        <v>237.017</v>
      </c>
      <c r="P823" s="32" t="s">
        <v>7</v>
      </c>
      <c r="Q823" s="32" t="s">
        <v>239</v>
      </c>
      <c r="R823" s="32" t="s">
        <v>1302</v>
      </c>
      <c r="S823" s="32">
        <v>27890000</v>
      </c>
      <c r="T823" s="32" t="s">
        <v>2527</v>
      </c>
      <c r="Z823" s="38" t="s">
        <v>1262</v>
      </c>
      <c r="AA823" s="35" t="s">
        <v>1445</v>
      </c>
      <c r="AB823" s="32">
        <f>20300+4400</f>
        <v>24700</v>
      </c>
      <c r="AH823" s="32" t="s">
        <v>411</v>
      </c>
      <c r="AK823" s="40" t="s">
        <v>1315</v>
      </c>
      <c r="AL823" s="32">
        <v>2011</v>
      </c>
      <c r="AM823" s="32" t="s">
        <v>1316</v>
      </c>
      <c r="AN823" s="32" t="s">
        <v>1317</v>
      </c>
      <c r="AO823" s="38" t="s">
        <v>1318</v>
      </c>
      <c r="AP823" s="35" t="s">
        <v>396</v>
      </c>
    </row>
    <row r="824" spans="1:42" x14ac:dyDescent="0.2">
      <c r="A824" s="40">
        <v>80</v>
      </c>
      <c r="B824" s="40">
        <v>823</v>
      </c>
      <c r="C824" s="40" t="s">
        <v>39</v>
      </c>
      <c r="D824" s="38" t="s">
        <v>38</v>
      </c>
      <c r="E824" s="32" t="s">
        <v>2183</v>
      </c>
      <c r="F824" s="32" t="s">
        <v>237</v>
      </c>
      <c r="G824" s="38" t="s">
        <v>1923</v>
      </c>
      <c r="H824" s="32" t="s">
        <v>151</v>
      </c>
      <c r="I824" s="32" t="s">
        <v>120</v>
      </c>
      <c r="J824" s="32" t="s">
        <v>1301</v>
      </c>
      <c r="K824" s="32" t="s">
        <v>1513</v>
      </c>
      <c r="L824" s="32" t="s">
        <v>30</v>
      </c>
      <c r="M824" s="32" t="s">
        <v>30</v>
      </c>
      <c r="N824" s="40">
        <v>2008</v>
      </c>
      <c r="O824" s="32">
        <f>VLOOKUP(Data!N1504, CPI!$A$2:$B$112, 2, 0)</f>
        <v>237.017</v>
      </c>
      <c r="P824" s="32" t="s">
        <v>7</v>
      </c>
      <c r="Q824" s="32" t="s">
        <v>239</v>
      </c>
      <c r="R824" s="32" t="s">
        <v>1303</v>
      </c>
      <c r="S824" s="32">
        <v>31160000</v>
      </c>
      <c r="T824" s="32" t="s">
        <v>2527</v>
      </c>
      <c r="Z824" s="38" t="s">
        <v>1262</v>
      </c>
      <c r="AA824" s="35" t="s">
        <v>1445</v>
      </c>
      <c r="AB824" s="32">
        <f>20300+4400</f>
        <v>24700</v>
      </c>
      <c r="AH824" s="32" t="s">
        <v>411</v>
      </c>
      <c r="AK824" s="40" t="s">
        <v>1315</v>
      </c>
      <c r="AL824" s="32">
        <v>2011</v>
      </c>
      <c r="AM824" s="32" t="s">
        <v>1316</v>
      </c>
      <c r="AN824" s="32" t="s">
        <v>1317</v>
      </c>
      <c r="AO824" s="38" t="s">
        <v>1318</v>
      </c>
      <c r="AP824" s="35" t="s">
        <v>396</v>
      </c>
    </row>
    <row r="825" spans="1:42" x14ac:dyDescent="0.2">
      <c r="A825" s="40">
        <v>80</v>
      </c>
      <c r="B825" s="40">
        <v>824</v>
      </c>
      <c r="C825" s="40" t="s">
        <v>39</v>
      </c>
      <c r="D825" s="38" t="s">
        <v>38</v>
      </c>
      <c r="E825" s="32" t="s">
        <v>2183</v>
      </c>
      <c r="F825" s="32" t="s">
        <v>237</v>
      </c>
      <c r="G825" s="38" t="s">
        <v>1923</v>
      </c>
      <c r="H825" s="32" t="s">
        <v>151</v>
      </c>
      <c r="I825" s="32" t="s">
        <v>120</v>
      </c>
      <c r="J825" s="32" t="s">
        <v>1301</v>
      </c>
      <c r="K825" s="32" t="s">
        <v>1513</v>
      </c>
      <c r="L825" s="32" t="s">
        <v>30</v>
      </c>
      <c r="M825" s="32" t="s">
        <v>30</v>
      </c>
      <c r="N825" s="40">
        <v>2008</v>
      </c>
      <c r="O825" s="32">
        <f>VLOOKUP(Data!N1505, CPI!$A$2:$B$112, 2, 0)</f>
        <v>237.017</v>
      </c>
      <c r="P825" s="32" t="s">
        <v>7</v>
      </c>
      <c r="Q825" s="32" t="s">
        <v>239</v>
      </c>
      <c r="R825" s="32" t="s">
        <v>1304</v>
      </c>
      <c r="S825" s="32">
        <v>23700000</v>
      </c>
      <c r="T825" s="32" t="s">
        <v>2527</v>
      </c>
      <c r="Z825" s="38" t="s">
        <v>1262</v>
      </c>
      <c r="AA825" s="35" t="s">
        <v>1445</v>
      </c>
      <c r="AB825" s="32">
        <f>20300+4400</f>
        <v>24700</v>
      </c>
      <c r="AH825" s="32" t="s">
        <v>411</v>
      </c>
      <c r="AK825" s="40" t="s">
        <v>1315</v>
      </c>
      <c r="AL825" s="32">
        <v>2011</v>
      </c>
      <c r="AM825" s="32" t="s">
        <v>1316</v>
      </c>
      <c r="AN825" s="32" t="s">
        <v>1317</v>
      </c>
      <c r="AO825" s="38" t="s">
        <v>1318</v>
      </c>
      <c r="AP825" s="35" t="s">
        <v>396</v>
      </c>
    </row>
    <row r="826" spans="1:42" x14ac:dyDescent="0.2">
      <c r="A826" s="40">
        <v>81</v>
      </c>
      <c r="B826" s="40">
        <v>825</v>
      </c>
      <c r="C826" s="40" t="s">
        <v>119</v>
      </c>
      <c r="D826" s="38" t="s">
        <v>128</v>
      </c>
      <c r="E826" s="32" t="s">
        <v>2186</v>
      </c>
      <c r="F826" s="32" t="s">
        <v>21</v>
      </c>
      <c r="G826" s="38" t="s">
        <v>163</v>
      </c>
      <c r="H826" s="32" t="s">
        <v>151</v>
      </c>
      <c r="I826" s="32" t="s">
        <v>120</v>
      </c>
      <c r="J826" s="32" t="s">
        <v>1319</v>
      </c>
      <c r="K826" s="32" t="s">
        <v>1513</v>
      </c>
      <c r="L826" s="32" t="s">
        <v>30</v>
      </c>
      <c r="M826" s="32" t="s">
        <v>30</v>
      </c>
      <c r="N826" s="40">
        <v>2008</v>
      </c>
      <c r="O826" s="32">
        <f>VLOOKUP(Data!N1506, CPI!$A$2:$B$112, 2, 0)</f>
        <v>236.73599999999999</v>
      </c>
      <c r="P826" s="32" t="s">
        <v>238</v>
      </c>
      <c r="Q826" s="32" t="s">
        <v>239</v>
      </c>
      <c r="R826" s="32" t="s">
        <v>2532</v>
      </c>
      <c r="S826" s="32">
        <v>10000</v>
      </c>
      <c r="T826" s="32" t="s">
        <v>2531</v>
      </c>
      <c r="Z826" s="38" t="s">
        <v>262</v>
      </c>
      <c r="AA826" s="35" t="s">
        <v>2528</v>
      </c>
      <c r="AB826" s="32" t="s">
        <v>30</v>
      </c>
      <c r="AH826" s="32" t="s">
        <v>411</v>
      </c>
      <c r="AK826" s="40" t="s">
        <v>1323</v>
      </c>
      <c r="AL826" s="32">
        <v>2010</v>
      </c>
      <c r="AM826" s="32" t="s">
        <v>1324</v>
      </c>
      <c r="AN826" s="32" t="s">
        <v>1325</v>
      </c>
      <c r="AO826" s="38" t="s">
        <v>1326</v>
      </c>
      <c r="AP826" s="35" t="s">
        <v>396</v>
      </c>
    </row>
    <row r="827" spans="1:42" x14ac:dyDescent="0.2">
      <c r="A827" s="40">
        <v>81</v>
      </c>
      <c r="B827" s="40">
        <v>826</v>
      </c>
      <c r="C827" s="40" t="s">
        <v>119</v>
      </c>
      <c r="D827" s="38" t="s">
        <v>128</v>
      </c>
      <c r="E827" s="32" t="s">
        <v>2186</v>
      </c>
      <c r="F827" s="32" t="s">
        <v>21</v>
      </c>
      <c r="G827" s="38" t="s">
        <v>163</v>
      </c>
      <c r="H827" s="32" t="s">
        <v>151</v>
      </c>
      <c r="I827" s="32" t="s">
        <v>120</v>
      </c>
      <c r="J827" s="32" t="s">
        <v>1319</v>
      </c>
      <c r="K827" s="32" t="s">
        <v>1513</v>
      </c>
      <c r="L827" s="32" t="s">
        <v>30</v>
      </c>
      <c r="M827" s="32" t="s">
        <v>30</v>
      </c>
      <c r="N827" s="40">
        <v>2008</v>
      </c>
      <c r="O827" s="32">
        <f>VLOOKUP(Data!N1507, CPI!$A$2:$B$112, 2, 0)</f>
        <v>236.73599999999999</v>
      </c>
      <c r="P827" s="32" t="s">
        <v>238</v>
      </c>
      <c r="Q827" s="32" t="s">
        <v>239</v>
      </c>
      <c r="R827" s="32" t="s">
        <v>1320</v>
      </c>
      <c r="S827" s="32">
        <v>49</v>
      </c>
      <c r="T827" s="32" t="s">
        <v>2531</v>
      </c>
      <c r="Z827" s="38" t="s">
        <v>262</v>
      </c>
      <c r="AA827" s="35" t="s">
        <v>2530</v>
      </c>
      <c r="AB827" s="32" t="s">
        <v>30</v>
      </c>
      <c r="AH827" s="32" t="s">
        <v>411</v>
      </c>
      <c r="AK827" s="40" t="s">
        <v>1323</v>
      </c>
      <c r="AL827" s="32">
        <v>2010</v>
      </c>
      <c r="AM827" s="32" t="s">
        <v>1324</v>
      </c>
      <c r="AN827" s="32" t="s">
        <v>1325</v>
      </c>
      <c r="AO827" s="38" t="s">
        <v>1326</v>
      </c>
      <c r="AP827" s="35" t="s">
        <v>396</v>
      </c>
    </row>
    <row r="828" spans="1:42" x14ac:dyDescent="0.2">
      <c r="A828" s="40">
        <v>81</v>
      </c>
      <c r="B828" s="40">
        <v>827</v>
      </c>
      <c r="C828" s="40" t="s">
        <v>119</v>
      </c>
      <c r="D828" s="38" t="s">
        <v>128</v>
      </c>
      <c r="E828" s="32" t="s">
        <v>2186</v>
      </c>
      <c r="F828" s="32" t="s">
        <v>21</v>
      </c>
      <c r="G828" s="38" t="s">
        <v>163</v>
      </c>
      <c r="H828" s="32" t="s">
        <v>151</v>
      </c>
      <c r="I828" s="32" t="s">
        <v>120</v>
      </c>
      <c r="J828" s="32" t="s">
        <v>1319</v>
      </c>
      <c r="K828" s="32" t="s">
        <v>1513</v>
      </c>
      <c r="L828" s="32" t="s">
        <v>30</v>
      </c>
      <c r="M828" s="32" t="s">
        <v>30</v>
      </c>
      <c r="N828" s="40">
        <v>2008</v>
      </c>
      <c r="O828" s="32">
        <f>VLOOKUP(Data!N1508, CPI!$A$2:$B$112, 2, 0)</f>
        <v>236.73599999999999</v>
      </c>
      <c r="P828" s="32" t="s">
        <v>238</v>
      </c>
      <c r="Q828" s="32" t="s">
        <v>239</v>
      </c>
      <c r="R828" s="32" t="s">
        <v>1321</v>
      </c>
      <c r="S828" s="32">
        <v>61.19</v>
      </c>
      <c r="T828" s="32" t="s">
        <v>608</v>
      </c>
      <c r="Z828" s="38" t="s">
        <v>262</v>
      </c>
      <c r="AA828" s="35" t="s">
        <v>2528</v>
      </c>
      <c r="AB828" s="32" t="s">
        <v>30</v>
      </c>
      <c r="AH828" s="32" t="s">
        <v>411</v>
      </c>
      <c r="AK828" s="40" t="s">
        <v>1323</v>
      </c>
      <c r="AL828" s="32">
        <v>2010</v>
      </c>
      <c r="AM828" s="32" t="s">
        <v>1324</v>
      </c>
      <c r="AN828" s="32" t="s">
        <v>1325</v>
      </c>
      <c r="AO828" s="38" t="s">
        <v>1326</v>
      </c>
      <c r="AP828" s="35" t="s">
        <v>396</v>
      </c>
    </row>
    <row r="829" spans="1:42" x14ac:dyDescent="0.2">
      <c r="A829" s="40">
        <v>82</v>
      </c>
      <c r="B829" s="40">
        <v>828</v>
      </c>
      <c r="C829" s="40" t="s">
        <v>149</v>
      </c>
      <c r="D829" s="38" t="s">
        <v>148</v>
      </c>
      <c r="E829" s="32" t="s">
        <v>2183</v>
      </c>
      <c r="F829" s="32" t="s">
        <v>126</v>
      </c>
      <c r="G829" s="38" t="s">
        <v>153</v>
      </c>
      <c r="H829" s="32" t="s">
        <v>151</v>
      </c>
      <c r="I829" s="32" t="s">
        <v>243</v>
      </c>
      <c r="J829" s="32" t="s">
        <v>1327</v>
      </c>
      <c r="K829" s="32" t="s">
        <v>1513</v>
      </c>
      <c r="L829" s="32" t="s">
        <v>30</v>
      </c>
      <c r="M829" s="32" t="s">
        <v>30</v>
      </c>
      <c r="N829" s="40">
        <v>2002</v>
      </c>
      <c r="O829" s="32">
        <f>VLOOKUP(Data!N621, CPI!$A$2:$B$112, 2, 0)</f>
        <v>195.3</v>
      </c>
      <c r="P829" s="32" t="s">
        <v>7</v>
      </c>
      <c r="Q829" s="32" t="s">
        <v>239</v>
      </c>
      <c r="R829" s="32" t="s">
        <v>1328</v>
      </c>
      <c r="S829" s="32">
        <v>39000</v>
      </c>
      <c r="T829" s="32" t="s">
        <v>300</v>
      </c>
      <c r="U829" s="32">
        <f>39000/AB829</f>
        <v>30.927835051546392</v>
      </c>
      <c r="V829" s="32" t="s">
        <v>316</v>
      </c>
      <c r="X829" s="32">
        <f t="shared" ref="X829:X844" si="47">U829</f>
        <v>30.927835051546392</v>
      </c>
      <c r="Y829" s="32">
        <f>(CPI!$B$112/O829)*X829</f>
        <v>48.248808336104645</v>
      </c>
      <c r="Z829" s="38" t="s">
        <v>262</v>
      </c>
      <c r="AA829" s="35" t="s">
        <v>1449</v>
      </c>
      <c r="AB829" s="32">
        <v>1261</v>
      </c>
      <c r="AH829" s="32" t="s">
        <v>411</v>
      </c>
      <c r="AI829" s="32" t="s">
        <v>1337</v>
      </c>
      <c r="AJ829" s="35" t="s">
        <v>2278</v>
      </c>
      <c r="AK829" s="40" t="s">
        <v>1346</v>
      </c>
      <c r="AL829" s="32">
        <v>2008</v>
      </c>
      <c r="AM829" s="32" t="s">
        <v>1347</v>
      </c>
      <c r="AN829" s="32" t="s">
        <v>1348</v>
      </c>
      <c r="AO829" s="38" t="s">
        <v>1349</v>
      </c>
      <c r="AP829" s="35" t="s">
        <v>396</v>
      </c>
    </row>
    <row r="830" spans="1:42" x14ac:dyDescent="0.2">
      <c r="A830" s="40">
        <v>82</v>
      </c>
      <c r="B830" s="40">
        <v>829</v>
      </c>
      <c r="C830" s="40" t="s">
        <v>149</v>
      </c>
      <c r="D830" s="38" t="s">
        <v>148</v>
      </c>
      <c r="E830" s="32" t="s">
        <v>2183</v>
      </c>
      <c r="F830" s="32" t="s">
        <v>126</v>
      </c>
      <c r="G830" s="38" t="s">
        <v>153</v>
      </c>
      <c r="H830" s="32" t="s">
        <v>151</v>
      </c>
      <c r="I830" s="32" t="s">
        <v>243</v>
      </c>
      <c r="J830" s="32" t="s">
        <v>1327</v>
      </c>
      <c r="K830" s="32" t="s">
        <v>1513</v>
      </c>
      <c r="L830" s="32" t="s">
        <v>30</v>
      </c>
      <c r="M830" s="32" t="s">
        <v>30</v>
      </c>
      <c r="N830" s="40">
        <v>2002</v>
      </c>
      <c r="O830" s="32">
        <f>VLOOKUP(Data!N622, CPI!$A$2:$B$112, 2, 0)</f>
        <v>195.3</v>
      </c>
      <c r="P830" s="32" t="s">
        <v>7</v>
      </c>
      <c r="Q830" s="32" t="s">
        <v>239</v>
      </c>
      <c r="R830" s="32" t="s">
        <v>1329</v>
      </c>
      <c r="S830" s="32">
        <v>30</v>
      </c>
      <c r="T830" s="32" t="s">
        <v>316</v>
      </c>
      <c r="U830" s="32">
        <v>30</v>
      </c>
      <c r="V830" s="32" t="s">
        <v>316</v>
      </c>
      <c r="X830" s="32">
        <f t="shared" si="47"/>
        <v>30</v>
      </c>
      <c r="Y830" s="32">
        <f>(CPI!$B$112/O830)*X830</f>
        <v>46.801344086021501</v>
      </c>
      <c r="Z830" s="38" t="s">
        <v>262</v>
      </c>
      <c r="AA830" s="35" t="s">
        <v>1449</v>
      </c>
      <c r="AB830" s="32">
        <v>1261</v>
      </c>
      <c r="AH830" s="32" t="s">
        <v>411</v>
      </c>
      <c r="AI830" s="32" t="s">
        <v>1337</v>
      </c>
      <c r="AK830" s="40" t="s">
        <v>1346</v>
      </c>
      <c r="AL830" s="32">
        <v>2008</v>
      </c>
      <c r="AM830" s="32" t="s">
        <v>1347</v>
      </c>
      <c r="AN830" s="32" t="s">
        <v>1348</v>
      </c>
      <c r="AO830" s="38" t="s">
        <v>1349</v>
      </c>
      <c r="AP830" s="35" t="s">
        <v>396</v>
      </c>
    </row>
    <row r="831" spans="1:42" x14ac:dyDescent="0.2">
      <c r="A831" s="40">
        <v>82</v>
      </c>
      <c r="B831" s="40">
        <v>830</v>
      </c>
      <c r="C831" s="40" t="s">
        <v>149</v>
      </c>
      <c r="D831" s="38" t="s">
        <v>148</v>
      </c>
      <c r="E831" s="32" t="s">
        <v>2183</v>
      </c>
      <c r="F831" s="32" t="s">
        <v>126</v>
      </c>
      <c r="G831" s="38" t="s">
        <v>152</v>
      </c>
      <c r="H831" s="32" t="s">
        <v>151</v>
      </c>
      <c r="I831" s="32" t="s">
        <v>243</v>
      </c>
      <c r="J831" s="32" t="s">
        <v>1327</v>
      </c>
      <c r="K831" s="32" t="s">
        <v>1513</v>
      </c>
      <c r="L831" s="32" t="s">
        <v>30</v>
      </c>
      <c r="M831" s="32" t="s">
        <v>30</v>
      </c>
      <c r="N831" s="40">
        <v>2002</v>
      </c>
      <c r="O831" s="32">
        <f>VLOOKUP(Data!N623, CPI!$A$2:$B$112, 2, 0)</f>
        <v>201.6</v>
      </c>
      <c r="P831" s="32" t="s">
        <v>7</v>
      </c>
      <c r="Q831" s="32" t="s">
        <v>239</v>
      </c>
      <c r="R831" s="32" t="s">
        <v>1330</v>
      </c>
      <c r="S831" s="32">
        <v>30</v>
      </c>
      <c r="T831" s="32" t="s">
        <v>316</v>
      </c>
      <c r="U831" s="32">
        <v>30</v>
      </c>
      <c r="V831" s="32" t="s">
        <v>316</v>
      </c>
      <c r="X831" s="32">
        <f t="shared" si="47"/>
        <v>30</v>
      </c>
      <c r="Y831" s="32">
        <f>(CPI!$B$112/O831)*X831</f>
        <v>45.338802083333341</v>
      </c>
      <c r="Z831" s="38" t="s">
        <v>262</v>
      </c>
      <c r="AA831" s="35" t="s">
        <v>1449</v>
      </c>
      <c r="AB831" s="32">
        <v>1261</v>
      </c>
      <c r="AH831" s="32" t="s">
        <v>411</v>
      </c>
      <c r="AI831" s="32" t="s">
        <v>1337</v>
      </c>
      <c r="AK831" s="40" t="s">
        <v>1346</v>
      </c>
      <c r="AL831" s="32">
        <v>2008</v>
      </c>
      <c r="AM831" s="32" t="s">
        <v>1347</v>
      </c>
      <c r="AN831" s="32" t="s">
        <v>1348</v>
      </c>
      <c r="AO831" s="38" t="s">
        <v>1349</v>
      </c>
      <c r="AP831" s="35" t="s">
        <v>396</v>
      </c>
    </row>
    <row r="832" spans="1:42" x14ac:dyDescent="0.2">
      <c r="A832" s="40">
        <v>82</v>
      </c>
      <c r="B832" s="40">
        <v>831</v>
      </c>
      <c r="C832" s="40" t="s">
        <v>149</v>
      </c>
      <c r="D832" s="38" t="s">
        <v>148</v>
      </c>
      <c r="E832" s="32" t="s">
        <v>2183</v>
      </c>
      <c r="F832" s="32" t="s">
        <v>126</v>
      </c>
      <c r="G832" s="38" t="s">
        <v>153</v>
      </c>
      <c r="H832" s="32" t="s">
        <v>151</v>
      </c>
      <c r="I832" s="32" t="s">
        <v>243</v>
      </c>
      <c r="J832" s="32" t="s">
        <v>1327</v>
      </c>
      <c r="K832" s="32" t="s">
        <v>1513</v>
      </c>
      <c r="L832" s="32" t="s">
        <v>30</v>
      </c>
      <c r="M832" s="32" t="s">
        <v>30</v>
      </c>
      <c r="N832" s="40">
        <v>2002</v>
      </c>
      <c r="O832" s="32">
        <f>VLOOKUP(Data!N624, CPI!$A$2:$B$112, 2, 0)</f>
        <v>214.53700000000001</v>
      </c>
      <c r="P832" s="32" t="s">
        <v>7</v>
      </c>
      <c r="Q832" s="32" t="s">
        <v>239</v>
      </c>
      <c r="R832" s="32" t="s">
        <v>1331</v>
      </c>
      <c r="S832" s="32">
        <v>13000</v>
      </c>
      <c r="T832" s="32" t="s">
        <v>300</v>
      </c>
      <c r="U832" s="32">
        <f>13000/AB832</f>
        <v>6.545820745216516</v>
      </c>
      <c r="V832" s="32" t="s">
        <v>316</v>
      </c>
      <c r="X832" s="32">
        <f t="shared" si="47"/>
        <v>6.545820745216516</v>
      </c>
      <c r="Y832" s="32">
        <f>(CPI!$B$112/O832)*X832</f>
        <v>9.2961092526470797</v>
      </c>
      <c r="Z832" s="38" t="s">
        <v>262</v>
      </c>
      <c r="AA832" s="35" t="s">
        <v>1449</v>
      </c>
      <c r="AB832" s="32">
        <v>1986</v>
      </c>
      <c r="AH832" s="32" t="s">
        <v>411</v>
      </c>
      <c r="AI832" s="32" t="s">
        <v>1337</v>
      </c>
      <c r="AJ832" s="35" t="s">
        <v>2278</v>
      </c>
      <c r="AK832" s="40" t="s">
        <v>1346</v>
      </c>
      <c r="AL832" s="32">
        <v>2008</v>
      </c>
      <c r="AM832" s="32" t="s">
        <v>1347</v>
      </c>
      <c r="AN832" s="32" t="s">
        <v>1348</v>
      </c>
      <c r="AO832" s="38" t="s">
        <v>1349</v>
      </c>
      <c r="AP832" s="35" t="s">
        <v>396</v>
      </c>
    </row>
    <row r="833" spans="1:42" x14ac:dyDescent="0.2">
      <c r="A833" s="40">
        <v>82</v>
      </c>
      <c r="B833" s="40">
        <v>832</v>
      </c>
      <c r="C833" s="40" t="s">
        <v>149</v>
      </c>
      <c r="D833" s="38" t="s">
        <v>148</v>
      </c>
      <c r="E833" s="32" t="s">
        <v>2183</v>
      </c>
      <c r="F833" s="32" t="s">
        <v>126</v>
      </c>
      <c r="G833" s="38" t="s">
        <v>153</v>
      </c>
      <c r="H833" s="32" t="s">
        <v>151</v>
      </c>
      <c r="I833" s="32" t="s">
        <v>243</v>
      </c>
      <c r="J833" s="32" t="s">
        <v>1327</v>
      </c>
      <c r="K833" s="32" t="s">
        <v>1513</v>
      </c>
      <c r="L833" s="32" t="s">
        <v>30</v>
      </c>
      <c r="M833" s="32" t="s">
        <v>30</v>
      </c>
      <c r="N833" s="40">
        <v>2002</v>
      </c>
      <c r="O833" s="32">
        <f>VLOOKUP(Data!N625, CPI!$A$2:$B$112, 2, 0)</f>
        <v>224.93899999999999</v>
      </c>
      <c r="P833" s="32" t="s">
        <v>7</v>
      </c>
      <c r="Q833" s="32" t="s">
        <v>239</v>
      </c>
      <c r="R833" s="32" t="s">
        <v>1332</v>
      </c>
      <c r="S833" s="32">
        <v>6</v>
      </c>
      <c r="T833" s="32" t="s">
        <v>316</v>
      </c>
      <c r="U833" s="32">
        <v>6</v>
      </c>
      <c r="V833" s="32" t="s">
        <v>316</v>
      </c>
      <c r="X833" s="32">
        <f t="shared" si="47"/>
        <v>6</v>
      </c>
      <c r="Y833" s="32">
        <f>(CPI!$B$112/O833)*X833</f>
        <v>8.1269166307309995</v>
      </c>
      <c r="Z833" s="38" t="s">
        <v>262</v>
      </c>
      <c r="AA833" s="35" t="s">
        <v>1449</v>
      </c>
      <c r="AB833" s="32">
        <v>1986</v>
      </c>
      <c r="AH833" s="32" t="s">
        <v>411</v>
      </c>
      <c r="AI833" s="32" t="s">
        <v>1337</v>
      </c>
      <c r="AK833" s="40" t="s">
        <v>1346</v>
      </c>
      <c r="AL833" s="32">
        <v>2008</v>
      </c>
      <c r="AM833" s="32" t="s">
        <v>1347</v>
      </c>
      <c r="AN833" s="32" t="s">
        <v>1348</v>
      </c>
      <c r="AO833" s="38" t="s">
        <v>1349</v>
      </c>
      <c r="AP833" s="35" t="s">
        <v>396</v>
      </c>
    </row>
    <row r="834" spans="1:42" x14ac:dyDescent="0.2">
      <c r="A834" s="40">
        <v>82</v>
      </c>
      <c r="B834" s="40">
        <v>833</v>
      </c>
      <c r="C834" s="40" t="s">
        <v>149</v>
      </c>
      <c r="D834" s="38" t="s">
        <v>148</v>
      </c>
      <c r="E834" s="32" t="s">
        <v>2183</v>
      </c>
      <c r="F834" s="32" t="s">
        <v>126</v>
      </c>
      <c r="G834" s="38" t="s">
        <v>152</v>
      </c>
      <c r="H834" s="32" t="s">
        <v>151</v>
      </c>
      <c r="I834" s="32" t="s">
        <v>243</v>
      </c>
      <c r="J834" s="32" t="s">
        <v>1327</v>
      </c>
      <c r="K834" s="32" t="s">
        <v>1513</v>
      </c>
      <c r="L834" s="32" t="s">
        <v>30</v>
      </c>
      <c r="M834" s="32" t="s">
        <v>30</v>
      </c>
      <c r="N834" s="40">
        <v>2002</v>
      </c>
      <c r="O834" s="32">
        <f>VLOOKUP(Data!N626, CPI!$A$2:$B$112, 2, 0)</f>
        <v>245.12</v>
      </c>
      <c r="P834" s="32" t="s">
        <v>7</v>
      </c>
      <c r="Q834" s="32" t="s">
        <v>239</v>
      </c>
      <c r="R834" s="32" t="s">
        <v>1333</v>
      </c>
      <c r="S834" s="32">
        <v>49</v>
      </c>
      <c r="T834" s="32" t="s">
        <v>316</v>
      </c>
      <c r="U834" s="32">
        <v>49</v>
      </c>
      <c r="V834" s="32" t="s">
        <v>316</v>
      </c>
      <c r="X834" s="32">
        <f t="shared" si="47"/>
        <v>49</v>
      </c>
      <c r="Y834" s="32">
        <f>(CPI!$B$112/O834)*X834</f>
        <v>60.905518725522192</v>
      </c>
      <c r="Z834" s="38" t="s">
        <v>262</v>
      </c>
      <c r="AA834" s="35" t="s">
        <v>1449</v>
      </c>
      <c r="AB834" s="32">
        <v>1986</v>
      </c>
      <c r="AH834" s="32" t="s">
        <v>411</v>
      </c>
      <c r="AI834" s="32" t="s">
        <v>1337</v>
      </c>
      <c r="AK834" s="40" t="s">
        <v>1346</v>
      </c>
      <c r="AL834" s="32">
        <v>2008</v>
      </c>
      <c r="AM834" s="32" t="s">
        <v>1347</v>
      </c>
      <c r="AN834" s="32" t="s">
        <v>1348</v>
      </c>
      <c r="AO834" s="38" t="s">
        <v>1349</v>
      </c>
      <c r="AP834" s="35" t="s">
        <v>396</v>
      </c>
    </row>
    <row r="835" spans="1:42" x14ac:dyDescent="0.2">
      <c r="A835" s="40">
        <v>82</v>
      </c>
      <c r="B835" s="40">
        <v>834</v>
      </c>
      <c r="C835" s="40" t="s">
        <v>149</v>
      </c>
      <c r="D835" s="38" t="s">
        <v>148</v>
      </c>
      <c r="E835" s="32" t="s">
        <v>2183</v>
      </c>
      <c r="F835" s="32" t="s">
        <v>126</v>
      </c>
      <c r="G835" s="38" t="s">
        <v>153</v>
      </c>
      <c r="H835" s="32" t="s">
        <v>151</v>
      </c>
      <c r="I835" s="32" t="s">
        <v>243</v>
      </c>
      <c r="J835" s="32" t="s">
        <v>1327</v>
      </c>
      <c r="K835" s="32" t="s">
        <v>1513</v>
      </c>
      <c r="L835" s="32" t="s">
        <v>30</v>
      </c>
      <c r="M835" s="32" t="s">
        <v>30</v>
      </c>
      <c r="N835" s="40">
        <v>2002</v>
      </c>
      <c r="O835" s="32">
        <f>VLOOKUP(Data!N627, CPI!$A$2:$B$112, 2, 0)</f>
        <v>245.12</v>
      </c>
      <c r="P835" s="32" t="s">
        <v>7</v>
      </c>
      <c r="Q835" s="32" t="s">
        <v>239</v>
      </c>
      <c r="R835" s="32" t="s">
        <v>1334</v>
      </c>
      <c r="S835" s="32">
        <v>30000</v>
      </c>
      <c r="T835" s="32" t="s">
        <v>300</v>
      </c>
      <c r="U835" s="32">
        <f>30000/AB835</f>
        <v>33.003300330033007</v>
      </c>
      <c r="V835" s="32" t="s">
        <v>316</v>
      </c>
      <c r="X835" s="32">
        <f t="shared" si="47"/>
        <v>33.003300330033007</v>
      </c>
      <c r="Y835" s="32">
        <f>(CPI!$B$112/O835)*X835</f>
        <v>41.022104617446082</v>
      </c>
      <c r="Z835" s="38" t="s">
        <v>262</v>
      </c>
      <c r="AA835" s="35" t="s">
        <v>1449</v>
      </c>
      <c r="AB835" s="32">
        <v>909</v>
      </c>
      <c r="AH835" s="32" t="s">
        <v>411</v>
      </c>
      <c r="AI835" s="32" t="s">
        <v>1337</v>
      </c>
      <c r="AJ835" s="35" t="s">
        <v>2278</v>
      </c>
      <c r="AK835" s="40" t="s">
        <v>1346</v>
      </c>
      <c r="AL835" s="32">
        <v>2008</v>
      </c>
      <c r="AM835" s="32" t="s">
        <v>1347</v>
      </c>
      <c r="AN835" s="32" t="s">
        <v>1348</v>
      </c>
      <c r="AO835" s="38" t="s">
        <v>1349</v>
      </c>
      <c r="AP835" s="35" t="s">
        <v>396</v>
      </c>
    </row>
    <row r="836" spans="1:42" x14ac:dyDescent="0.2">
      <c r="A836" s="40">
        <v>82</v>
      </c>
      <c r="B836" s="40">
        <v>835</v>
      </c>
      <c r="C836" s="40" t="s">
        <v>149</v>
      </c>
      <c r="D836" s="38" t="s">
        <v>148</v>
      </c>
      <c r="E836" s="32" t="s">
        <v>2183</v>
      </c>
      <c r="F836" s="32" t="s">
        <v>126</v>
      </c>
      <c r="G836" s="38" t="s">
        <v>153</v>
      </c>
      <c r="H836" s="32" t="s">
        <v>151</v>
      </c>
      <c r="I836" s="32" t="s">
        <v>243</v>
      </c>
      <c r="J836" s="32" t="s">
        <v>1327</v>
      </c>
      <c r="K836" s="32" t="s">
        <v>1513</v>
      </c>
      <c r="L836" s="32" t="s">
        <v>30</v>
      </c>
      <c r="M836" s="32" t="s">
        <v>30</v>
      </c>
      <c r="N836" s="40">
        <v>2002</v>
      </c>
      <c r="O836" s="32">
        <f>VLOOKUP(Data!N628, CPI!$A$2:$B$112, 2, 0)</f>
        <v>245.12</v>
      </c>
      <c r="P836" s="32" t="s">
        <v>7</v>
      </c>
      <c r="Q836" s="32" t="s">
        <v>239</v>
      </c>
      <c r="R836" s="32" t="s">
        <v>1335</v>
      </c>
      <c r="S836" s="32">
        <v>33</v>
      </c>
      <c r="T836" s="32" t="s">
        <v>316</v>
      </c>
      <c r="U836" s="32">
        <v>33</v>
      </c>
      <c r="V836" s="32" t="s">
        <v>316</v>
      </c>
      <c r="X836" s="32">
        <f t="shared" si="47"/>
        <v>33</v>
      </c>
      <c r="Y836" s="32">
        <f>(CPI!$B$112/O836)*X836</f>
        <v>41.018002406984337</v>
      </c>
      <c r="Z836" s="38" t="s">
        <v>262</v>
      </c>
      <c r="AA836" s="35" t="s">
        <v>1449</v>
      </c>
      <c r="AB836" s="32">
        <v>909</v>
      </c>
      <c r="AH836" s="32" t="s">
        <v>411</v>
      </c>
      <c r="AI836" s="32" t="s">
        <v>1337</v>
      </c>
      <c r="AK836" s="40" t="s">
        <v>1346</v>
      </c>
      <c r="AL836" s="32">
        <v>2008</v>
      </c>
      <c r="AM836" s="32" t="s">
        <v>1347</v>
      </c>
      <c r="AN836" s="32" t="s">
        <v>1348</v>
      </c>
      <c r="AO836" s="38" t="s">
        <v>1349</v>
      </c>
      <c r="AP836" s="35" t="s">
        <v>396</v>
      </c>
    </row>
    <row r="837" spans="1:42" x14ac:dyDescent="0.2">
      <c r="A837" s="40">
        <v>82</v>
      </c>
      <c r="B837" s="40">
        <v>836</v>
      </c>
      <c r="C837" s="40" t="s">
        <v>149</v>
      </c>
      <c r="D837" s="38" t="s">
        <v>148</v>
      </c>
      <c r="E837" s="32" t="s">
        <v>2183</v>
      </c>
      <c r="F837" s="32" t="s">
        <v>126</v>
      </c>
      <c r="G837" s="38" t="s">
        <v>152</v>
      </c>
      <c r="H837" s="32" t="s">
        <v>151</v>
      </c>
      <c r="I837" s="32" t="s">
        <v>243</v>
      </c>
      <c r="J837" s="32" t="s">
        <v>1327</v>
      </c>
      <c r="K837" s="32" t="s">
        <v>1513</v>
      </c>
      <c r="L837" s="32" t="s">
        <v>30</v>
      </c>
      <c r="M837" s="32" t="s">
        <v>30</v>
      </c>
      <c r="N837" s="40">
        <v>2002</v>
      </c>
      <c r="O837" s="32">
        <f>VLOOKUP(Data!N629, CPI!$A$2:$B$112, 2, 0)</f>
        <v>245.12</v>
      </c>
      <c r="P837" s="32" t="s">
        <v>7</v>
      </c>
      <c r="Q837" s="32" t="s">
        <v>239</v>
      </c>
      <c r="R837" s="32" t="s">
        <v>1336</v>
      </c>
      <c r="S837" s="32">
        <v>138</v>
      </c>
      <c r="T837" s="32" t="s">
        <v>316</v>
      </c>
      <c r="U837" s="32">
        <v>138</v>
      </c>
      <c r="V837" s="32" t="s">
        <v>316</v>
      </c>
      <c r="X837" s="32">
        <f t="shared" si="47"/>
        <v>138</v>
      </c>
      <c r="Y837" s="32">
        <f>(CPI!$B$112/O837)*X837</f>
        <v>171.52982824738902</v>
      </c>
      <c r="Z837" s="38" t="s">
        <v>262</v>
      </c>
      <c r="AA837" s="35" t="s">
        <v>1449</v>
      </c>
      <c r="AB837" s="32">
        <v>909</v>
      </c>
      <c r="AH837" s="32" t="s">
        <v>411</v>
      </c>
      <c r="AI837" s="32" t="s">
        <v>1337</v>
      </c>
      <c r="AK837" s="40" t="s">
        <v>1346</v>
      </c>
      <c r="AL837" s="32">
        <v>2008</v>
      </c>
      <c r="AM837" s="32" t="s">
        <v>1347</v>
      </c>
      <c r="AN837" s="32" t="s">
        <v>1348</v>
      </c>
      <c r="AO837" s="38" t="s">
        <v>1349</v>
      </c>
      <c r="AP837" s="35" t="s">
        <v>396</v>
      </c>
    </row>
    <row r="838" spans="1:42" x14ac:dyDescent="0.2">
      <c r="A838" s="40">
        <v>82</v>
      </c>
      <c r="B838" s="40">
        <v>837</v>
      </c>
      <c r="C838" s="40" t="s">
        <v>149</v>
      </c>
      <c r="D838" s="38" t="s">
        <v>148</v>
      </c>
      <c r="E838" s="32" t="s">
        <v>2186</v>
      </c>
      <c r="F838" s="32" t="s">
        <v>29</v>
      </c>
      <c r="G838" s="38" t="s">
        <v>29</v>
      </c>
      <c r="H838" s="32" t="s">
        <v>151</v>
      </c>
      <c r="I838" s="32" t="s">
        <v>243</v>
      </c>
      <c r="J838" s="32" t="s">
        <v>1327</v>
      </c>
      <c r="K838" s="32" t="s">
        <v>1513</v>
      </c>
      <c r="L838" s="32" t="s">
        <v>30</v>
      </c>
      <c r="M838" s="32" t="s">
        <v>30</v>
      </c>
      <c r="N838" s="40">
        <v>2002</v>
      </c>
      <c r="O838" s="32">
        <f>VLOOKUP(Data!N630, CPI!$A$2:$B$112, 2, 0)</f>
        <v>188.9</v>
      </c>
      <c r="P838" s="32" t="s">
        <v>7</v>
      </c>
      <c r="Q838" s="32" t="s">
        <v>239</v>
      </c>
      <c r="R838" s="32" t="s">
        <v>1338</v>
      </c>
      <c r="S838" s="32">
        <v>60</v>
      </c>
      <c r="T838" s="32" t="s">
        <v>316</v>
      </c>
      <c r="U838" s="32">
        <v>60</v>
      </c>
      <c r="V838" s="32" t="s">
        <v>316</v>
      </c>
      <c r="X838" s="32">
        <f t="shared" si="47"/>
        <v>60</v>
      </c>
      <c r="Y838" s="32">
        <f>(CPI!$B$112/O838)*X838</f>
        <v>96.773980942297513</v>
      </c>
      <c r="Z838" s="38" t="s">
        <v>262</v>
      </c>
      <c r="AA838" s="35" t="s">
        <v>1449</v>
      </c>
      <c r="AB838" s="32">
        <v>1261</v>
      </c>
      <c r="AH838" s="32" t="s">
        <v>411</v>
      </c>
      <c r="AI838" s="32" t="s">
        <v>1341</v>
      </c>
      <c r="AK838" s="40" t="s">
        <v>1346</v>
      </c>
      <c r="AL838" s="32">
        <v>2008</v>
      </c>
      <c r="AM838" s="32" t="s">
        <v>1347</v>
      </c>
      <c r="AN838" s="32" t="s">
        <v>1348</v>
      </c>
      <c r="AO838" s="38" t="s">
        <v>1349</v>
      </c>
      <c r="AP838" s="35" t="s">
        <v>396</v>
      </c>
    </row>
    <row r="839" spans="1:42" x14ac:dyDescent="0.2">
      <c r="A839" s="40">
        <v>82</v>
      </c>
      <c r="B839" s="40">
        <v>838</v>
      </c>
      <c r="C839" s="40" t="s">
        <v>149</v>
      </c>
      <c r="D839" s="38" t="s">
        <v>148</v>
      </c>
      <c r="E839" s="32" t="s">
        <v>2186</v>
      </c>
      <c r="F839" s="32" t="s">
        <v>29</v>
      </c>
      <c r="G839" s="38" t="s">
        <v>29</v>
      </c>
      <c r="H839" s="32" t="s">
        <v>151</v>
      </c>
      <c r="I839" s="32" t="s">
        <v>243</v>
      </c>
      <c r="J839" s="32" t="s">
        <v>1327</v>
      </c>
      <c r="K839" s="32" t="s">
        <v>1513</v>
      </c>
      <c r="L839" s="32" t="s">
        <v>30</v>
      </c>
      <c r="M839" s="32" t="s">
        <v>30</v>
      </c>
      <c r="N839" s="40">
        <v>2002</v>
      </c>
      <c r="O839" s="32">
        <f>VLOOKUP(Data!N631, CPI!$A$2:$B$112, 2, 0)</f>
        <v>188.9</v>
      </c>
      <c r="P839" s="32" t="s">
        <v>7</v>
      </c>
      <c r="Q839" s="32" t="s">
        <v>239</v>
      </c>
      <c r="R839" s="32" t="s">
        <v>1339</v>
      </c>
      <c r="S839" s="32">
        <v>55</v>
      </c>
      <c r="T839" s="32" t="s">
        <v>316</v>
      </c>
      <c r="U839" s="32">
        <v>55</v>
      </c>
      <c r="V839" s="32" t="s">
        <v>316</v>
      </c>
      <c r="X839" s="32">
        <f t="shared" si="47"/>
        <v>55</v>
      </c>
      <c r="Y839" s="32">
        <f>(CPI!$B$112/O839)*X839</f>
        <v>88.709482530439388</v>
      </c>
      <c r="Z839" s="38" t="s">
        <v>262</v>
      </c>
      <c r="AA839" s="35" t="s">
        <v>1449</v>
      </c>
      <c r="AB839" s="32">
        <v>1986</v>
      </c>
      <c r="AH839" s="32" t="s">
        <v>411</v>
      </c>
      <c r="AI839" s="32" t="s">
        <v>1341</v>
      </c>
      <c r="AK839" s="40" t="s">
        <v>1346</v>
      </c>
      <c r="AL839" s="32">
        <v>2008</v>
      </c>
      <c r="AM839" s="32" t="s">
        <v>1347</v>
      </c>
      <c r="AN839" s="32" t="s">
        <v>1348</v>
      </c>
      <c r="AO839" s="38" t="s">
        <v>1349</v>
      </c>
      <c r="AP839" s="35" t="s">
        <v>396</v>
      </c>
    </row>
    <row r="840" spans="1:42" x14ac:dyDescent="0.2">
      <c r="A840" s="40">
        <v>82</v>
      </c>
      <c r="B840" s="40">
        <v>839</v>
      </c>
      <c r="C840" s="40" t="s">
        <v>149</v>
      </c>
      <c r="D840" s="38" t="s">
        <v>148</v>
      </c>
      <c r="E840" s="32" t="s">
        <v>2186</v>
      </c>
      <c r="F840" s="32" t="s">
        <v>29</v>
      </c>
      <c r="G840" s="38" t="s">
        <v>29</v>
      </c>
      <c r="H840" s="32" t="s">
        <v>151</v>
      </c>
      <c r="I840" s="32" t="s">
        <v>243</v>
      </c>
      <c r="J840" s="32" t="s">
        <v>1327</v>
      </c>
      <c r="K840" s="32" t="s">
        <v>1513</v>
      </c>
      <c r="L840" s="32" t="s">
        <v>30</v>
      </c>
      <c r="M840" s="32" t="s">
        <v>30</v>
      </c>
      <c r="N840" s="40">
        <v>2002</v>
      </c>
      <c r="O840" s="32">
        <f>VLOOKUP(Data!N632, CPI!$A$2:$B$112, 2, 0)</f>
        <v>188.9</v>
      </c>
      <c r="P840" s="32" t="s">
        <v>7</v>
      </c>
      <c r="Q840" s="32" t="s">
        <v>239</v>
      </c>
      <c r="R840" s="32" t="s">
        <v>1340</v>
      </c>
      <c r="S840" s="32">
        <v>171</v>
      </c>
      <c r="T840" s="32" t="s">
        <v>316</v>
      </c>
      <c r="U840" s="32">
        <v>171</v>
      </c>
      <c r="V840" s="32" t="s">
        <v>316</v>
      </c>
      <c r="X840" s="32">
        <f t="shared" si="47"/>
        <v>171</v>
      </c>
      <c r="Y840" s="32">
        <f>(CPI!$B$112/O840)*X840</f>
        <v>275.80584568554792</v>
      </c>
      <c r="Z840" s="38" t="s">
        <v>262</v>
      </c>
      <c r="AA840" s="35" t="s">
        <v>1449</v>
      </c>
      <c r="AB840" s="32">
        <v>909</v>
      </c>
      <c r="AH840" s="32" t="s">
        <v>411</v>
      </c>
      <c r="AI840" s="32" t="s">
        <v>1341</v>
      </c>
      <c r="AK840" s="40" t="s">
        <v>1346</v>
      </c>
      <c r="AL840" s="32">
        <v>2008</v>
      </c>
      <c r="AM840" s="32" t="s">
        <v>1347</v>
      </c>
      <c r="AN840" s="32" t="s">
        <v>1348</v>
      </c>
      <c r="AO840" s="38" t="s">
        <v>1349</v>
      </c>
      <c r="AP840" s="35" t="s">
        <v>396</v>
      </c>
    </row>
    <row r="841" spans="1:42" x14ac:dyDescent="0.2">
      <c r="A841" s="40">
        <v>82</v>
      </c>
      <c r="B841" s="40">
        <v>840</v>
      </c>
      <c r="C841" s="40" t="s">
        <v>149</v>
      </c>
      <c r="D841" s="38" t="s">
        <v>148</v>
      </c>
      <c r="E841" s="32" t="s">
        <v>2186</v>
      </c>
      <c r="F841" s="32" t="s">
        <v>29</v>
      </c>
      <c r="G841" s="38" t="s">
        <v>29</v>
      </c>
      <c r="H841" s="32" t="s">
        <v>151</v>
      </c>
      <c r="I841" s="32" t="s">
        <v>243</v>
      </c>
      <c r="J841" s="32" t="s">
        <v>1327</v>
      </c>
      <c r="K841" s="32" t="s">
        <v>1513</v>
      </c>
      <c r="L841" s="32" t="s">
        <v>30</v>
      </c>
      <c r="M841" s="32" t="s">
        <v>30</v>
      </c>
      <c r="N841" s="40">
        <v>2002</v>
      </c>
      <c r="O841" s="32">
        <f>VLOOKUP(Data!N633, CPI!$A$2:$B$112, 2, 0)</f>
        <v>304.67675000000003</v>
      </c>
      <c r="P841" s="32" t="s">
        <v>7</v>
      </c>
      <c r="Q841" s="32" t="s">
        <v>250</v>
      </c>
      <c r="R841" s="32" t="s">
        <v>1342</v>
      </c>
      <c r="S841" s="32">
        <v>5200000</v>
      </c>
      <c r="T841" s="32" t="s">
        <v>1345</v>
      </c>
      <c r="U841" s="32">
        <f t="shared" ref="U841:U873" si="48">S841/AB841</f>
        <v>4123.7113402061859</v>
      </c>
      <c r="V841" s="32" t="s">
        <v>316</v>
      </c>
      <c r="X841" s="32">
        <f t="shared" si="47"/>
        <v>4123.7113402061859</v>
      </c>
      <c r="Y841" s="32">
        <f>(CPI!$B$112/O841)*X841</f>
        <v>4123.7113402061859</v>
      </c>
      <c r="Z841" s="38" t="s">
        <v>262</v>
      </c>
      <c r="AA841" s="35" t="s">
        <v>1447</v>
      </c>
      <c r="AB841" s="32">
        <v>1261</v>
      </c>
      <c r="AH841" s="32" t="s">
        <v>411</v>
      </c>
      <c r="AI841" s="32" t="s">
        <v>1341</v>
      </c>
      <c r="AK841" s="40" t="s">
        <v>1346</v>
      </c>
      <c r="AL841" s="32">
        <v>2008</v>
      </c>
      <c r="AM841" s="32" t="s">
        <v>1347</v>
      </c>
      <c r="AN841" s="32" t="s">
        <v>1348</v>
      </c>
      <c r="AO841" s="38" t="s">
        <v>1349</v>
      </c>
      <c r="AP841" s="35" t="s">
        <v>396</v>
      </c>
    </row>
    <row r="842" spans="1:42" x14ac:dyDescent="0.2">
      <c r="A842" s="40">
        <v>82</v>
      </c>
      <c r="B842" s="40">
        <v>841</v>
      </c>
      <c r="C842" s="40" t="s">
        <v>149</v>
      </c>
      <c r="D842" s="38" t="s">
        <v>148</v>
      </c>
      <c r="E842" s="32" t="s">
        <v>2186</v>
      </c>
      <c r="F842" s="32" t="s">
        <v>29</v>
      </c>
      <c r="G842" s="38" t="s">
        <v>29</v>
      </c>
      <c r="H842" s="32" t="s">
        <v>151</v>
      </c>
      <c r="I842" s="32" t="s">
        <v>243</v>
      </c>
      <c r="J842" s="32" t="s">
        <v>1327</v>
      </c>
      <c r="K842" s="32" t="s">
        <v>1513</v>
      </c>
      <c r="L842" s="32" t="s">
        <v>30</v>
      </c>
      <c r="M842" s="32" t="s">
        <v>30</v>
      </c>
      <c r="N842" s="40">
        <v>2002</v>
      </c>
      <c r="O842" s="32">
        <f>VLOOKUP(Data!N634, CPI!$A$2:$B$112, 2, 0)</f>
        <v>304.67675000000003</v>
      </c>
      <c r="P842" s="32" t="s">
        <v>7</v>
      </c>
      <c r="Q842" s="32" t="s">
        <v>250</v>
      </c>
      <c r="R842" s="32" t="s">
        <v>1343</v>
      </c>
      <c r="S842" s="32">
        <v>8650000</v>
      </c>
      <c r="T842" s="32" t="s">
        <v>1345</v>
      </c>
      <c r="U842" s="32">
        <f t="shared" si="48"/>
        <v>4355.4884189325276</v>
      </c>
      <c r="V842" s="32" t="s">
        <v>316</v>
      </c>
      <c r="X842" s="32">
        <f t="shared" si="47"/>
        <v>4355.4884189325276</v>
      </c>
      <c r="Y842" s="32">
        <f>(CPI!$B$112/O842)*X842</f>
        <v>4355.4884189325276</v>
      </c>
      <c r="Z842" s="38" t="s">
        <v>262</v>
      </c>
      <c r="AA842" s="35" t="s">
        <v>1447</v>
      </c>
      <c r="AB842" s="32">
        <v>1986</v>
      </c>
      <c r="AH842" s="32" t="s">
        <v>411</v>
      </c>
      <c r="AI842" s="32" t="s">
        <v>1341</v>
      </c>
      <c r="AK842" s="40" t="s">
        <v>1346</v>
      </c>
      <c r="AL842" s="32">
        <v>2008</v>
      </c>
      <c r="AM842" s="32" t="s">
        <v>1347</v>
      </c>
      <c r="AN842" s="32" t="s">
        <v>1348</v>
      </c>
      <c r="AO842" s="38" t="s">
        <v>1349</v>
      </c>
      <c r="AP842" s="35" t="s">
        <v>396</v>
      </c>
    </row>
    <row r="843" spans="1:42" x14ac:dyDescent="0.2">
      <c r="A843" s="40">
        <v>82</v>
      </c>
      <c r="B843" s="40">
        <v>842</v>
      </c>
      <c r="C843" s="40" t="s">
        <v>149</v>
      </c>
      <c r="D843" s="38" t="s">
        <v>148</v>
      </c>
      <c r="E843" s="32" t="s">
        <v>2186</v>
      </c>
      <c r="F843" s="32" t="s">
        <v>29</v>
      </c>
      <c r="G843" s="38" t="s">
        <v>29</v>
      </c>
      <c r="H843" s="32" t="s">
        <v>151</v>
      </c>
      <c r="I843" s="32" t="s">
        <v>243</v>
      </c>
      <c r="J843" s="32" t="s">
        <v>1327</v>
      </c>
      <c r="K843" s="32" t="s">
        <v>1513</v>
      </c>
      <c r="L843" s="32" t="s">
        <v>30</v>
      </c>
      <c r="M843" s="32" t="s">
        <v>30</v>
      </c>
      <c r="N843" s="40">
        <v>2002</v>
      </c>
      <c r="O843" s="32">
        <f>VLOOKUP(Data!N635, CPI!$A$2:$B$112, 2, 0)</f>
        <v>304.67675000000003</v>
      </c>
      <c r="P843" s="32" t="s">
        <v>7</v>
      </c>
      <c r="Q843" s="32" t="s">
        <v>250</v>
      </c>
      <c r="R843" s="32" t="s">
        <v>1344</v>
      </c>
      <c r="S843" s="32">
        <v>4620000</v>
      </c>
      <c r="T843" s="32" t="s">
        <v>1345</v>
      </c>
      <c r="U843" s="32">
        <f t="shared" si="48"/>
        <v>5082.5082508250825</v>
      </c>
      <c r="V843" s="32" t="s">
        <v>316</v>
      </c>
      <c r="X843" s="32">
        <f t="shared" si="47"/>
        <v>5082.5082508250825</v>
      </c>
      <c r="Y843" s="32">
        <f>(CPI!$B$112/O843)*X843</f>
        <v>5082.5082508250825</v>
      </c>
      <c r="Z843" s="38" t="s">
        <v>262</v>
      </c>
      <c r="AA843" s="35" t="s">
        <v>1447</v>
      </c>
      <c r="AB843" s="32">
        <v>909</v>
      </c>
      <c r="AH843" s="32" t="s">
        <v>411</v>
      </c>
      <c r="AI843" s="32" t="s">
        <v>1341</v>
      </c>
      <c r="AK843" s="40" t="s">
        <v>1346</v>
      </c>
      <c r="AL843" s="32">
        <v>2008</v>
      </c>
      <c r="AM843" s="32" t="s">
        <v>1347</v>
      </c>
      <c r="AN843" s="32" t="s">
        <v>1348</v>
      </c>
      <c r="AO843" s="38" t="s">
        <v>1349</v>
      </c>
      <c r="AP843" s="35" t="s">
        <v>396</v>
      </c>
    </row>
    <row r="844" spans="1:42" x14ac:dyDescent="0.2">
      <c r="A844" s="40">
        <v>82</v>
      </c>
      <c r="B844" s="40">
        <v>843</v>
      </c>
      <c r="C844" s="40" t="s">
        <v>149</v>
      </c>
      <c r="D844" s="38" t="s">
        <v>148</v>
      </c>
      <c r="E844" s="32" t="s">
        <v>2186</v>
      </c>
      <c r="F844" s="32" t="s">
        <v>29</v>
      </c>
      <c r="G844" s="38" t="s">
        <v>29</v>
      </c>
      <c r="H844" s="32" t="s">
        <v>151</v>
      </c>
      <c r="I844" s="32" t="s">
        <v>243</v>
      </c>
      <c r="J844" s="32" t="s">
        <v>1327</v>
      </c>
      <c r="K844" s="32" t="s">
        <v>1513</v>
      </c>
      <c r="L844" s="32" t="s">
        <v>30</v>
      </c>
      <c r="M844" s="32" t="s">
        <v>30</v>
      </c>
      <c r="N844" s="40">
        <v>2002</v>
      </c>
      <c r="O844" s="32">
        <f>VLOOKUP(Data!N636, CPI!$A$2:$B$112, 2, 0)</f>
        <v>304.67675000000003</v>
      </c>
      <c r="P844" s="32" t="s">
        <v>7</v>
      </c>
      <c r="Q844" s="32" t="s">
        <v>250</v>
      </c>
      <c r="R844" s="32" t="s">
        <v>2533</v>
      </c>
      <c r="S844" s="32">
        <v>4620000</v>
      </c>
      <c r="T844" s="32" t="s">
        <v>1345</v>
      </c>
      <c r="U844" s="32">
        <f t="shared" si="48"/>
        <v>5082.5082508250825</v>
      </c>
      <c r="V844" s="32" t="s">
        <v>316</v>
      </c>
      <c r="X844" s="32">
        <f t="shared" si="47"/>
        <v>5082.5082508250825</v>
      </c>
      <c r="Y844" s="32">
        <f>(CPI!$B$112/O844)*X844</f>
        <v>5082.5082508250825</v>
      </c>
      <c r="Z844" s="38" t="s">
        <v>262</v>
      </c>
      <c r="AA844" s="35" t="s">
        <v>1447</v>
      </c>
      <c r="AB844" s="32">
        <v>909</v>
      </c>
      <c r="AH844" s="32" t="s">
        <v>411</v>
      </c>
      <c r="AI844" s="32" t="s">
        <v>1341</v>
      </c>
      <c r="AK844" s="40" t="s">
        <v>1346</v>
      </c>
      <c r="AL844" s="32">
        <v>2008</v>
      </c>
      <c r="AM844" s="32" t="s">
        <v>1347</v>
      </c>
      <c r="AN844" s="32" t="s">
        <v>1348</v>
      </c>
      <c r="AO844" s="38" t="s">
        <v>1349</v>
      </c>
      <c r="AP844" s="35" t="s">
        <v>396</v>
      </c>
    </row>
    <row r="845" spans="1:42" x14ac:dyDescent="0.2">
      <c r="A845" s="40">
        <v>83</v>
      </c>
      <c r="B845" s="40">
        <v>844</v>
      </c>
      <c r="C845" s="40" t="s">
        <v>39</v>
      </c>
      <c r="D845" s="38" t="s">
        <v>38</v>
      </c>
      <c r="E845" s="32" t="s">
        <v>2183</v>
      </c>
      <c r="F845" s="32" t="s">
        <v>126</v>
      </c>
      <c r="G845" s="38" t="s">
        <v>152</v>
      </c>
      <c r="H845" s="32" t="s">
        <v>151</v>
      </c>
      <c r="I845" s="32" t="s">
        <v>120</v>
      </c>
      <c r="J845" s="32" t="s">
        <v>1350</v>
      </c>
      <c r="K845" s="32" t="s">
        <v>1513</v>
      </c>
      <c r="L845" s="32" t="s">
        <v>30</v>
      </c>
      <c r="M845" s="32" t="s">
        <v>30</v>
      </c>
      <c r="N845" s="40">
        <v>2017</v>
      </c>
      <c r="O845" s="32">
        <f>VLOOKUP(Data!N1066, CPI!$A$2:$B$112, 2, 0)</f>
        <v>251.107</v>
      </c>
      <c r="P845" s="32" t="s">
        <v>7</v>
      </c>
      <c r="Q845" s="32" t="s">
        <v>250</v>
      </c>
      <c r="R845" s="32" t="s">
        <v>1352</v>
      </c>
      <c r="S845" s="58">
        <v>31348000</v>
      </c>
      <c r="T845" s="32" t="s">
        <v>1310</v>
      </c>
      <c r="U845" s="32">
        <f t="shared" si="48"/>
        <v>207.32804232804233</v>
      </c>
      <c r="V845" s="32" t="s">
        <v>1487</v>
      </c>
      <c r="W845" s="32">
        <f>VLOOKUP(N845, 'Exchange rate- Vietnam'!$A$2:$B$65, 2, 0)</f>
        <v>22370.086666666699</v>
      </c>
      <c r="X845" s="32">
        <f t="shared" ref="X845:X853" si="49">U845/W845</f>
        <v>9.268092941140834E-3</v>
      </c>
      <c r="Y845" s="32">
        <f>(CPI!$B$112/O845)*X845</f>
        <v>1.1245295575211886E-2</v>
      </c>
      <c r="Z845" s="38" t="s">
        <v>1262</v>
      </c>
      <c r="AA845" s="35" t="s">
        <v>1445</v>
      </c>
      <c r="AB845" s="32">
        <f t="shared" ref="AB845:AB853" si="50">67800+83400</f>
        <v>151200</v>
      </c>
      <c r="AC845" s="32" t="s">
        <v>2534</v>
      </c>
      <c r="AH845" s="32" t="s">
        <v>411</v>
      </c>
      <c r="AJ845" s="35" t="s">
        <v>2278</v>
      </c>
      <c r="AK845" s="40" t="s">
        <v>1360</v>
      </c>
      <c r="AL845" s="32">
        <v>2020</v>
      </c>
      <c r="AM845" s="32" t="s">
        <v>1361</v>
      </c>
      <c r="AN845" s="32" t="s">
        <v>1362</v>
      </c>
      <c r="AO845" s="38" t="s">
        <v>1363</v>
      </c>
      <c r="AP845" s="35" t="s">
        <v>396</v>
      </c>
    </row>
    <row r="846" spans="1:42" x14ac:dyDescent="0.2">
      <c r="A846" s="40">
        <v>83</v>
      </c>
      <c r="B846" s="40">
        <v>845</v>
      </c>
      <c r="C846" s="40" t="s">
        <v>39</v>
      </c>
      <c r="D846" s="38" t="s">
        <v>38</v>
      </c>
      <c r="E846" s="32" t="s">
        <v>2183</v>
      </c>
      <c r="F846" s="32" t="s">
        <v>126</v>
      </c>
      <c r="G846" s="38" t="s">
        <v>152</v>
      </c>
      <c r="H846" s="32" t="s">
        <v>151</v>
      </c>
      <c r="I846" s="32" t="s">
        <v>120</v>
      </c>
      <c r="J846" s="32" t="s">
        <v>1350</v>
      </c>
      <c r="K846" s="32" t="s">
        <v>1513</v>
      </c>
      <c r="L846" s="32" t="s">
        <v>30</v>
      </c>
      <c r="M846" s="32" t="s">
        <v>30</v>
      </c>
      <c r="N846" s="40">
        <v>2017</v>
      </c>
      <c r="O846" s="32">
        <f>VLOOKUP(Data!N1067, CPI!$A$2:$B$112, 2, 0)</f>
        <v>232.95699999999999</v>
      </c>
      <c r="P846" s="32" t="s">
        <v>7</v>
      </c>
      <c r="Q846" s="32" t="s">
        <v>250</v>
      </c>
      <c r="R846" s="32" t="s">
        <v>1351</v>
      </c>
      <c r="S846" s="58">
        <v>26124000</v>
      </c>
      <c r="T846" s="32" t="s">
        <v>1310</v>
      </c>
      <c r="U846" s="32">
        <f t="shared" si="48"/>
        <v>172.77777777777777</v>
      </c>
      <c r="V846" s="32" t="s">
        <v>1487</v>
      </c>
      <c r="W846" s="32">
        <f>VLOOKUP(N846, 'Exchange rate- Vietnam'!$A$2:$B$65, 2, 0)</f>
        <v>22370.086666666699</v>
      </c>
      <c r="X846" s="32">
        <f t="shared" si="49"/>
        <v>7.7236078854907219E-3</v>
      </c>
      <c r="Y846" s="32">
        <f>(CPI!$B$112/O846)*X846</f>
        <v>1.0101451121132593E-2</v>
      </c>
      <c r="Z846" s="38" t="s">
        <v>1262</v>
      </c>
      <c r="AA846" s="35" t="s">
        <v>1445</v>
      </c>
      <c r="AB846" s="32">
        <f t="shared" si="50"/>
        <v>151200</v>
      </c>
      <c r="AC846" s="32" t="s">
        <v>2534</v>
      </c>
      <c r="AH846" s="32" t="s">
        <v>411</v>
      </c>
      <c r="AJ846" s="35" t="s">
        <v>2278</v>
      </c>
      <c r="AK846" s="40" t="s">
        <v>1360</v>
      </c>
      <c r="AL846" s="32">
        <v>2020</v>
      </c>
      <c r="AM846" s="32" t="s">
        <v>1361</v>
      </c>
      <c r="AN846" s="32" t="s">
        <v>1362</v>
      </c>
      <c r="AO846" s="38" t="s">
        <v>1363</v>
      </c>
      <c r="AP846" s="35" t="s">
        <v>396</v>
      </c>
    </row>
    <row r="847" spans="1:42" x14ac:dyDescent="0.2">
      <c r="A847" s="40">
        <v>83</v>
      </c>
      <c r="B847" s="40">
        <v>846</v>
      </c>
      <c r="C847" s="40" t="s">
        <v>39</v>
      </c>
      <c r="D847" s="38" t="s">
        <v>38</v>
      </c>
      <c r="E847" s="32" t="s">
        <v>2183</v>
      </c>
      <c r="F847" s="32" t="s">
        <v>126</v>
      </c>
      <c r="G847" s="38" t="s">
        <v>152</v>
      </c>
      <c r="H847" s="32" t="s">
        <v>151</v>
      </c>
      <c r="I847" s="32" t="s">
        <v>120</v>
      </c>
      <c r="J847" s="32" t="s">
        <v>1350</v>
      </c>
      <c r="K847" s="32" t="s">
        <v>1513</v>
      </c>
      <c r="L847" s="32" t="s">
        <v>30</v>
      </c>
      <c r="M847" s="32" t="s">
        <v>30</v>
      </c>
      <c r="N847" s="40">
        <v>2017</v>
      </c>
      <c r="O847" s="32">
        <f>VLOOKUP(Data!N1068, CPI!$A$2:$B$112, 2, 0)</f>
        <v>177.1</v>
      </c>
      <c r="P847" s="32" t="s">
        <v>7</v>
      </c>
      <c r="Q847" s="32" t="s">
        <v>250</v>
      </c>
      <c r="R847" s="32" t="s">
        <v>1353</v>
      </c>
      <c r="S847" s="58">
        <v>21553000</v>
      </c>
      <c r="T847" s="32" t="s">
        <v>1310</v>
      </c>
      <c r="U847" s="32">
        <f t="shared" si="48"/>
        <v>142.5462962962963</v>
      </c>
      <c r="V847" s="32" t="s">
        <v>1487</v>
      </c>
      <c r="W847" s="32">
        <f>VLOOKUP(N847, 'Exchange rate- Vietnam'!$A$2:$B$65, 2, 0)</f>
        <v>22370.086666666699</v>
      </c>
      <c r="X847" s="32">
        <f t="shared" si="49"/>
        <v>6.3721834617968742E-3</v>
      </c>
      <c r="Y847" s="32">
        <f>(CPI!$B$112/O847)*X847</f>
        <v>1.0962485305161045E-2</v>
      </c>
      <c r="Z847" s="38" t="s">
        <v>1262</v>
      </c>
      <c r="AA847" s="35" t="s">
        <v>1445</v>
      </c>
      <c r="AB847" s="32">
        <f t="shared" si="50"/>
        <v>151200</v>
      </c>
      <c r="AC847" s="32" t="s">
        <v>2534</v>
      </c>
      <c r="AH847" s="32" t="s">
        <v>411</v>
      </c>
      <c r="AJ847" s="35" t="s">
        <v>2278</v>
      </c>
      <c r="AK847" s="40" t="s">
        <v>1360</v>
      </c>
      <c r="AL847" s="32">
        <v>2020</v>
      </c>
      <c r="AM847" s="32" t="s">
        <v>1361</v>
      </c>
      <c r="AN847" s="32" t="s">
        <v>1362</v>
      </c>
      <c r="AO847" s="38" t="s">
        <v>1363</v>
      </c>
      <c r="AP847" s="35" t="s">
        <v>396</v>
      </c>
    </row>
    <row r="848" spans="1:42" x14ac:dyDescent="0.2">
      <c r="A848" s="40">
        <v>83</v>
      </c>
      <c r="B848" s="40">
        <v>847</v>
      </c>
      <c r="C848" s="40" t="s">
        <v>39</v>
      </c>
      <c r="D848" s="38" t="s">
        <v>38</v>
      </c>
      <c r="E848" s="32" t="s">
        <v>2183</v>
      </c>
      <c r="F848" s="32" t="s">
        <v>126</v>
      </c>
      <c r="G848" s="38" t="s">
        <v>152</v>
      </c>
      <c r="H848" s="32" t="s">
        <v>151</v>
      </c>
      <c r="I848" s="32" t="s">
        <v>120</v>
      </c>
      <c r="J848" s="32" t="s">
        <v>1350</v>
      </c>
      <c r="K848" s="32" t="s">
        <v>1513</v>
      </c>
      <c r="L848" s="32" t="s">
        <v>30</v>
      </c>
      <c r="M848" s="32" t="s">
        <v>30</v>
      </c>
      <c r="N848" s="40">
        <v>2017</v>
      </c>
      <c r="O848" s="32">
        <f>VLOOKUP(Data!N1069, CPI!$A$2:$B$112, 2, 0)</f>
        <v>177.1</v>
      </c>
      <c r="P848" s="32" t="s">
        <v>7</v>
      </c>
      <c r="Q848" s="32" t="s">
        <v>250</v>
      </c>
      <c r="R848" s="32" t="s">
        <v>1354</v>
      </c>
      <c r="S848" s="58">
        <v>45243000</v>
      </c>
      <c r="T848" s="32" t="s">
        <v>1310</v>
      </c>
      <c r="U848" s="32">
        <f t="shared" si="48"/>
        <v>299.22619047619048</v>
      </c>
      <c r="V848" s="32" t="s">
        <v>1487</v>
      </c>
      <c r="W848" s="32">
        <f>VLOOKUP(N848, 'Exchange rate- Vietnam'!$A$2:$B$65, 2, 0)</f>
        <v>22370.086666666699</v>
      </c>
      <c r="X848" s="32">
        <f t="shared" si="49"/>
        <v>1.3376174841649699E-2</v>
      </c>
      <c r="Y848" s="32">
        <f>(CPI!$B$112/O848)*X848</f>
        <v>2.3011911226344415E-2</v>
      </c>
      <c r="Z848" s="38" t="s">
        <v>1262</v>
      </c>
      <c r="AA848" s="35" t="s">
        <v>1445</v>
      </c>
      <c r="AB848" s="32">
        <f t="shared" si="50"/>
        <v>151200</v>
      </c>
      <c r="AC848" s="32" t="s">
        <v>2534</v>
      </c>
      <c r="AH848" s="32" t="s">
        <v>411</v>
      </c>
      <c r="AJ848" s="35" t="s">
        <v>2278</v>
      </c>
      <c r="AK848" s="40" t="s">
        <v>1360</v>
      </c>
      <c r="AL848" s="32">
        <v>2020</v>
      </c>
      <c r="AM848" s="32" t="s">
        <v>1361</v>
      </c>
      <c r="AN848" s="32" t="s">
        <v>1362</v>
      </c>
      <c r="AO848" s="38" t="s">
        <v>1363</v>
      </c>
      <c r="AP848" s="35" t="s">
        <v>396</v>
      </c>
    </row>
    <row r="849" spans="1:42" x14ac:dyDescent="0.2">
      <c r="A849" s="40">
        <v>83</v>
      </c>
      <c r="B849" s="40">
        <v>848</v>
      </c>
      <c r="C849" s="40" t="s">
        <v>39</v>
      </c>
      <c r="D849" s="38" t="s">
        <v>38</v>
      </c>
      <c r="E849" s="32" t="s">
        <v>2183</v>
      </c>
      <c r="F849" s="32" t="s">
        <v>126</v>
      </c>
      <c r="G849" s="38" t="s">
        <v>152</v>
      </c>
      <c r="H849" s="32" t="s">
        <v>151</v>
      </c>
      <c r="I849" s="32" t="s">
        <v>120</v>
      </c>
      <c r="J849" s="32" t="s">
        <v>1350</v>
      </c>
      <c r="K849" s="32" t="s">
        <v>1513</v>
      </c>
      <c r="L849" s="32" t="s">
        <v>30</v>
      </c>
      <c r="M849" s="32" t="s">
        <v>30</v>
      </c>
      <c r="N849" s="40">
        <v>2017</v>
      </c>
      <c r="O849" s="32">
        <f>VLOOKUP(Data!N1070, CPI!$A$2:$B$112, 2, 0)</f>
        <v>177.1</v>
      </c>
      <c r="P849" s="32" t="s">
        <v>7</v>
      </c>
      <c r="Q849" s="32" t="s">
        <v>250</v>
      </c>
      <c r="R849" s="32" t="s">
        <v>1355</v>
      </c>
      <c r="S849" s="58">
        <v>38882000</v>
      </c>
      <c r="T849" s="32" t="s">
        <v>1310</v>
      </c>
      <c r="U849" s="32">
        <f t="shared" si="48"/>
        <v>257.15608465608466</v>
      </c>
      <c r="V849" s="32" t="s">
        <v>1487</v>
      </c>
      <c r="W849" s="32">
        <f>VLOOKUP(N849, 'Exchange rate- Vietnam'!$A$2:$B$65, 2, 0)</f>
        <v>22370.086666666699</v>
      </c>
      <c r="X849" s="32">
        <f t="shared" si="49"/>
        <v>1.1495533677983857E-2</v>
      </c>
      <c r="Y849" s="32">
        <f>(CPI!$B$112/O849)*X849</f>
        <v>1.9776520838642963E-2</v>
      </c>
      <c r="Z849" s="38" t="s">
        <v>1262</v>
      </c>
      <c r="AA849" s="35" t="s">
        <v>1445</v>
      </c>
      <c r="AB849" s="32">
        <f t="shared" si="50"/>
        <v>151200</v>
      </c>
      <c r="AC849" s="32" t="s">
        <v>2534</v>
      </c>
      <c r="AH849" s="32" t="s">
        <v>411</v>
      </c>
      <c r="AJ849" s="35" t="s">
        <v>2278</v>
      </c>
      <c r="AK849" s="40" t="s">
        <v>1360</v>
      </c>
      <c r="AL849" s="32">
        <v>2020</v>
      </c>
      <c r="AM849" s="32" t="s">
        <v>1361</v>
      </c>
      <c r="AN849" s="32" t="s">
        <v>1362</v>
      </c>
      <c r="AO849" s="38" t="s">
        <v>1363</v>
      </c>
      <c r="AP849" s="35" t="s">
        <v>396</v>
      </c>
    </row>
    <row r="850" spans="1:42" x14ac:dyDescent="0.2">
      <c r="A850" s="40">
        <v>83</v>
      </c>
      <c r="B850" s="40">
        <v>849</v>
      </c>
      <c r="C850" s="40" t="s">
        <v>39</v>
      </c>
      <c r="D850" s="38" t="s">
        <v>38</v>
      </c>
      <c r="E850" s="32" t="s">
        <v>2183</v>
      </c>
      <c r="F850" s="32" t="s">
        <v>126</v>
      </c>
      <c r="G850" s="38" t="s">
        <v>152</v>
      </c>
      <c r="H850" s="32" t="s">
        <v>151</v>
      </c>
      <c r="I850" s="32" t="s">
        <v>120</v>
      </c>
      <c r="J850" s="32" t="s">
        <v>1350</v>
      </c>
      <c r="K850" s="32" t="s">
        <v>1513</v>
      </c>
      <c r="L850" s="32" t="s">
        <v>30</v>
      </c>
      <c r="M850" s="32" t="s">
        <v>30</v>
      </c>
      <c r="N850" s="40">
        <v>2017</v>
      </c>
      <c r="O850" s="32">
        <f>VLOOKUP(Data!N1071, CPI!$A$2:$B$112, 2, 0)</f>
        <v>177.1</v>
      </c>
      <c r="P850" s="32" t="s">
        <v>7</v>
      </c>
      <c r="Q850" s="32" t="s">
        <v>250</v>
      </c>
      <c r="R850" s="32" t="s">
        <v>1356</v>
      </c>
      <c r="S850" s="58">
        <v>33304000</v>
      </c>
      <c r="T850" s="32" t="s">
        <v>1310</v>
      </c>
      <c r="U850" s="32">
        <f t="shared" si="48"/>
        <v>220.26455026455025</v>
      </c>
      <c r="V850" s="32" t="s">
        <v>1487</v>
      </c>
      <c r="W850" s="32">
        <f>VLOOKUP(N850, 'Exchange rate- Vietnam'!$A$2:$B$65, 2, 0)</f>
        <v>22370.086666666699</v>
      </c>
      <c r="X850" s="32">
        <f t="shared" si="49"/>
        <v>9.8463878815795054E-3</v>
      </c>
      <c r="Y850" s="32">
        <f>(CPI!$B$112/O850)*X850</f>
        <v>1.6939387120265551E-2</v>
      </c>
      <c r="Z850" s="38" t="s">
        <v>1262</v>
      </c>
      <c r="AA850" s="35" t="s">
        <v>1445</v>
      </c>
      <c r="AB850" s="32">
        <f t="shared" si="50"/>
        <v>151200</v>
      </c>
      <c r="AC850" s="32" t="s">
        <v>2534</v>
      </c>
      <c r="AH850" s="32" t="s">
        <v>411</v>
      </c>
      <c r="AJ850" s="35" t="s">
        <v>2278</v>
      </c>
      <c r="AK850" s="40" t="s">
        <v>1360</v>
      </c>
      <c r="AL850" s="32">
        <v>2020</v>
      </c>
      <c r="AM850" s="32" t="s">
        <v>1361</v>
      </c>
      <c r="AN850" s="32" t="s">
        <v>1362</v>
      </c>
      <c r="AO850" s="38" t="s">
        <v>1363</v>
      </c>
      <c r="AP850" s="35" t="s">
        <v>396</v>
      </c>
    </row>
    <row r="851" spans="1:42" x14ac:dyDescent="0.2">
      <c r="A851" s="40">
        <v>83</v>
      </c>
      <c r="B851" s="40">
        <v>850</v>
      </c>
      <c r="C851" s="40" t="s">
        <v>39</v>
      </c>
      <c r="D851" s="38" t="s">
        <v>38</v>
      </c>
      <c r="E851" s="32" t="s">
        <v>2183</v>
      </c>
      <c r="F851" s="32" t="s">
        <v>126</v>
      </c>
      <c r="G851" s="38" t="s">
        <v>152</v>
      </c>
      <c r="H851" s="32" t="s">
        <v>151</v>
      </c>
      <c r="I851" s="32" t="s">
        <v>120</v>
      </c>
      <c r="J851" s="32" t="s">
        <v>1350</v>
      </c>
      <c r="K851" s="32" t="s">
        <v>1513</v>
      </c>
      <c r="L851" s="32" t="s">
        <v>30</v>
      </c>
      <c r="M851" s="32" t="s">
        <v>30</v>
      </c>
      <c r="N851" s="40">
        <v>2017</v>
      </c>
      <c r="O851" s="32">
        <f>VLOOKUP(Data!N1072, CPI!$A$2:$B$112, 2, 0)</f>
        <v>177.1</v>
      </c>
      <c r="P851" s="32" t="s">
        <v>7</v>
      </c>
      <c r="Q851" s="32" t="s">
        <v>250</v>
      </c>
      <c r="R851" s="32" t="s">
        <v>1357</v>
      </c>
      <c r="S851" s="58">
        <v>50728000</v>
      </c>
      <c r="T851" s="32" t="s">
        <v>1310</v>
      </c>
      <c r="U851" s="32">
        <f t="shared" si="48"/>
        <v>335.50264550264552</v>
      </c>
      <c r="V851" s="32" t="s">
        <v>1487</v>
      </c>
      <c r="W851" s="32">
        <f>VLOOKUP(N851, 'Exchange rate- Vietnam'!$A$2:$B$65, 2, 0)</f>
        <v>22370.086666666699</v>
      </c>
      <c r="X851" s="32">
        <f t="shared" si="49"/>
        <v>1.499782501972031E-2</v>
      </c>
      <c r="Y851" s="32">
        <f>(CPI!$B$112/O851)*X851</f>
        <v>2.5801742428441958E-2</v>
      </c>
      <c r="Z851" s="38" t="s">
        <v>1262</v>
      </c>
      <c r="AA851" s="35" t="s">
        <v>1445</v>
      </c>
      <c r="AB851" s="32">
        <f t="shared" si="50"/>
        <v>151200</v>
      </c>
      <c r="AC851" s="32" t="s">
        <v>2534</v>
      </c>
      <c r="AH851" s="32" t="s">
        <v>411</v>
      </c>
      <c r="AJ851" s="35" t="s">
        <v>2278</v>
      </c>
      <c r="AK851" s="40" t="s">
        <v>1360</v>
      </c>
      <c r="AL851" s="32">
        <v>2020</v>
      </c>
      <c r="AM851" s="32" t="s">
        <v>1361</v>
      </c>
      <c r="AN851" s="32" t="s">
        <v>1362</v>
      </c>
      <c r="AO851" s="38" t="s">
        <v>1363</v>
      </c>
      <c r="AP851" s="35" t="s">
        <v>396</v>
      </c>
    </row>
    <row r="852" spans="1:42" x14ac:dyDescent="0.2">
      <c r="A852" s="40">
        <v>83</v>
      </c>
      <c r="B852" s="40">
        <v>851</v>
      </c>
      <c r="C852" s="40" t="s">
        <v>39</v>
      </c>
      <c r="D852" s="38" t="s">
        <v>38</v>
      </c>
      <c r="E852" s="32" t="s">
        <v>2183</v>
      </c>
      <c r="F852" s="32" t="s">
        <v>126</v>
      </c>
      <c r="G852" s="38" t="s">
        <v>152</v>
      </c>
      <c r="H852" s="32" t="s">
        <v>151</v>
      </c>
      <c r="I852" s="32" t="s">
        <v>120</v>
      </c>
      <c r="J852" s="32" t="s">
        <v>1350</v>
      </c>
      <c r="K852" s="32" t="s">
        <v>1513</v>
      </c>
      <c r="L852" s="32" t="s">
        <v>30</v>
      </c>
      <c r="M852" s="32" t="s">
        <v>30</v>
      </c>
      <c r="N852" s="40">
        <v>2017</v>
      </c>
      <c r="O852" s="32">
        <f>VLOOKUP(Data!N1073, CPI!$A$2:$B$112, 2, 0)</f>
        <v>177.1</v>
      </c>
      <c r="P852" s="32" t="s">
        <v>7</v>
      </c>
      <c r="Q852" s="32" t="s">
        <v>250</v>
      </c>
      <c r="R852" s="32" t="s">
        <v>1358</v>
      </c>
      <c r="S852" s="58">
        <v>43319000</v>
      </c>
      <c r="T852" s="32" t="s">
        <v>1310</v>
      </c>
      <c r="U852" s="32">
        <f t="shared" si="48"/>
        <v>286.50132275132273</v>
      </c>
      <c r="V852" s="32" t="s">
        <v>1487</v>
      </c>
      <c r="W852" s="32">
        <f>VLOOKUP(N852, 'Exchange rate- Vietnam'!$A$2:$B$65, 2, 0)</f>
        <v>22370.086666666699</v>
      </c>
      <c r="X852" s="32">
        <f t="shared" si="49"/>
        <v>1.2807340759132315E-2</v>
      </c>
      <c r="Y852" s="32">
        <f>(CPI!$B$112/O852)*X852</f>
        <v>2.2033308631479204E-2</v>
      </c>
      <c r="Z852" s="38" t="s">
        <v>1262</v>
      </c>
      <c r="AA852" s="35" t="s">
        <v>1445</v>
      </c>
      <c r="AB852" s="32">
        <f t="shared" si="50"/>
        <v>151200</v>
      </c>
      <c r="AC852" s="32" t="s">
        <v>2534</v>
      </c>
      <c r="AH852" s="32" t="s">
        <v>411</v>
      </c>
      <c r="AJ852" s="35" t="s">
        <v>2278</v>
      </c>
      <c r="AK852" s="40" t="s">
        <v>1360</v>
      </c>
      <c r="AL852" s="32">
        <v>2020</v>
      </c>
      <c r="AM852" s="32" t="s">
        <v>1361</v>
      </c>
      <c r="AN852" s="32" t="s">
        <v>1362</v>
      </c>
      <c r="AO852" s="38" t="s">
        <v>1363</v>
      </c>
      <c r="AP852" s="35" t="s">
        <v>396</v>
      </c>
    </row>
    <row r="853" spans="1:42" x14ac:dyDescent="0.2">
      <c r="A853" s="40">
        <v>83</v>
      </c>
      <c r="B853" s="40">
        <v>852</v>
      </c>
      <c r="C853" s="40" t="s">
        <v>39</v>
      </c>
      <c r="D853" s="38" t="s">
        <v>38</v>
      </c>
      <c r="E853" s="32" t="s">
        <v>2183</v>
      </c>
      <c r="F853" s="32" t="s">
        <v>126</v>
      </c>
      <c r="G853" s="38" t="s">
        <v>152</v>
      </c>
      <c r="H853" s="32" t="s">
        <v>151</v>
      </c>
      <c r="I853" s="32" t="s">
        <v>120</v>
      </c>
      <c r="J853" s="32" t="s">
        <v>1350</v>
      </c>
      <c r="K853" s="32" t="s">
        <v>1513</v>
      </c>
      <c r="L853" s="32" t="s">
        <v>30</v>
      </c>
      <c r="M853" s="32" t="s">
        <v>30</v>
      </c>
      <c r="N853" s="40">
        <v>2017</v>
      </c>
      <c r="O853" s="32">
        <f>VLOOKUP(Data!N1074, CPI!$A$2:$B$112, 2, 0)</f>
        <v>177.1</v>
      </c>
      <c r="P853" s="32" t="s">
        <v>7</v>
      </c>
      <c r="Q853" s="32" t="s">
        <v>250</v>
      </c>
      <c r="R853" s="32" t="s">
        <v>1359</v>
      </c>
      <c r="S853" s="58">
        <v>36824000</v>
      </c>
      <c r="T853" s="32" t="s">
        <v>1310</v>
      </c>
      <c r="U853" s="32">
        <f t="shared" si="48"/>
        <v>243.54497354497354</v>
      </c>
      <c r="V853" s="32" t="s">
        <v>1487</v>
      </c>
      <c r="W853" s="32">
        <f>VLOOKUP(N853, 'Exchange rate- Vietnam'!$A$2:$B$65, 2, 0)</f>
        <v>22370.086666666699</v>
      </c>
      <c r="X853" s="32">
        <f t="shared" si="49"/>
        <v>1.0887082252921083E-2</v>
      </c>
      <c r="Y853" s="32">
        <f>(CPI!$B$112/O853)*X853</f>
        <v>1.8729761929998159E-2</v>
      </c>
      <c r="Z853" s="38" t="s">
        <v>1262</v>
      </c>
      <c r="AA853" s="35" t="s">
        <v>1445</v>
      </c>
      <c r="AB853" s="32">
        <f t="shared" si="50"/>
        <v>151200</v>
      </c>
      <c r="AC853" s="32" t="s">
        <v>2534</v>
      </c>
      <c r="AH853" s="32" t="s">
        <v>411</v>
      </c>
      <c r="AJ853" s="35" t="s">
        <v>2278</v>
      </c>
      <c r="AK853" s="40" t="s">
        <v>1360</v>
      </c>
      <c r="AL853" s="32">
        <v>2020</v>
      </c>
      <c r="AM853" s="32" t="s">
        <v>1361</v>
      </c>
      <c r="AN853" s="32" t="s">
        <v>1362</v>
      </c>
      <c r="AO853" s="38" t="s">
        <v>1363</v>
      </c>
      <c r="AP853" s="35" t="s">
        <v>396</v>
      </c>
    </row>
    <row r="854" spans="1:42" x14ac:dyDescent="0.2">
      <c r="A854" s="40">
        <v>84</v>
      </c>
      <c r="B854" s="40">
        <v>853</v>
      </c>
      <c r="C854" s="40" t="s">
        <v>149</v>
      </c>
      <c r="D854" s="54" t="s">
        <v>45</v>
      </c>
      <c r="E854" s="32" t="s">
        <v>2183</v>
      </c>
      <c r="F854" s="32" t="s">
        <v>237</v>
      </c>
      <c r="G854" s="38" t="s">
        <v>154</v>
      </c>
      <c r="H854" s="32" t="s">
        <v>115</v>
      </c>
      <c r="I854" s="32" t="s">
        <v>120</v>
      </c>
      <c r="J854" s="32" t="s">
        <v>1365</v>
      </c>
      <c r="K854" s="32" t="s">
        <v>1513</v>
      </c>
      <c r="L854" s="32" t="s">
        <v>30</v>
      </c>
      <c r="M854" s="32" t="s">
        <v>30</v>
      </c>
      <c r="N854" s="40">
        <v>2019</v>
      </c>
      <c r="O854" s="32">
        <f>VLOOKUP(Data!N637, CPI!$A$2:$B$112, 2, 0)</f>
        <v>304.67675000000003</v>
      </c>
      <c r="P854" s="32" t="s">
        <v>238</v>
      </c>
      <c r="Q854" s="32" t="s">
        <v>239</v>
      </c>
      <c r="R854" s="32" t="s">
        <v>1366</v>
      </c>
      <c r="S854" s="57">
        <v>71026220</v>
      </c>
      <c r="T854" s="32" t="s">
        <v>300</v>
      </c>
      <c r="U854" s="32">
        <f t="shared" si="48"/>
        <v>188.00309651199828</v>
      </c>
      <c r="V854" s="32" t="s">
        <v>316</v>
      </c>
      <c r="X854" s="32">
        <f t="shared" ref="X854:X865" si="51">U854</f>
        <v>188.00309651199828</v>
      </c>
      <c r="Y854" s="32">
        <f>(CPI!$B$112/O854)*X854</f>
        <v>188.00309651199828</v>
      </c>
      <c r="Z854" s="38" t="s">
        <v>262</v>
      </c>
      <c r="AA854" s="35" t="s">
        <v>1412</v>
      </c>
      <c r="AB854" s="57">
        <v>377792.82</v>
      </c>
      <c r="AC854" s="35" t="s">
        <v>1412</v>
      </c>
      <c r="AH854" s="32" t="s">
        <v>411</v>
      </c>
      <c r="AJ854" s="35" t="s">
        <v>2278</v>
      </c>
      <c r="AK854" s="40" t="s">
        <v>1377</v>
      </c>
      <c r="AL854" s="32">
        <v>2022</v>
      </c>
      <c r="AM854" s="32" t="s">
        <v>1378</v>
      </c>
      <c r="AN854" s="32" t="s">
        <v>1379</v>
      </c>
      <c r="AO854" s="38" t="s">
        <v>1380</v>
      </c>
      <c r="AP854" s="35" t="s">
        <v>396</v>
      </c>
    </row>
    <row r="855" spans="1:42" x14ac:dyDescent="0.2">
      <c r="A855" s="40">
        <v>84</v>
      </c>
      <c r="B855" s="40">
        <v>854</v>
      </c>
      <c r="C855" s="40" t="s">
        <v>149</v>
      </c>
      <c r="D855" s="54" t="s">
        <v>45</v>
      </c>
      <c r="E855" s="32" t="s">
        <v>2183</v>
      </c>
      <c r="F855" s="32" t="s">
        <v>237</v>
      </c>
      <c r="G855" s="38" t="s">
        <v>154</v>
      </c>
      <c r="H855" s="32" t="s">
        <v>115</v>
      </c>
      <c r="I855" s="32" t="s">
        <v>120</v>
      </c>
      <c r="J855" s="32" t="s">
        <v>1365</v>
      </c>
      <c r="K855" s="32" t="s">
        <v>1513</v>
      </c>
      <c r="L855" s="32" t="s">
        <v>30</v>
      </c>
      <c r="M855" s="32" t="s">
        <v>30</v>
      </c>
      <c r="N855" s="40">
        <v>2019</v>
      </c>
      <c r="O855" s="32">
        <f>VLOOKUP(Data!N638, CPI!$A$2:$B$112, 2, 0)</f>
        <v>304.67675000000003</v>
      </c>
      <c r="P855" s="32" t="s">
        <v>238</v>
      </c>
      <c r="Q855" s="32" t="s">
        <v>239</v>
      </c>
      <c r="R855" s="32" t="s">
        <v>1367</v>
      </c>
      <c r="S855" s="57">
        <v>72325100</v>
      </c>
      <c r="T855" s="32" t="s">
        <v>300</v>
      </c>
      <c r="U855" s="32">
        <f t="shared" si="48"/>
        <v>191.44117138065249</v>
      </c>
      <c r="V855" s="32" t="s">
        <v>316</v>
      </c>
      <c r="X855" s="32">
        <f t="shared" si="51"/>
        <v>191.44117138065249</v>
      </c>
      <c r="Y855" s="32">
        <f>(CPI!$B$112/O855)*X855</f>
        <v>191.44117138065249</v>
      </c>
      <c r="Z855" s="38" t="s">
        <v>262</v>
      </c>
      <c r="AA855" s="35" t="s">
        <v>1412</v>
      </c>
      <c r="AB855" s="57">
        <v>377792.82</v>
      </c>
      <c r="AC855" s="35" t="s">
        <v>1412</v>
      </c>
      <c r="AH855" s="32" t="s">
        <v>411</v>
      </c>
      <c r="AJ855" s="35" t="s">
        <v>2278</v>
      </c>
      <c r="AK855" s="40" t="s">
        <v>1377</v>
      </c>
      <c r="AL855" s="32">
        <v>2022</v>
      </c>
      <c r="AM855" s="32" t="s">
        <v>1378</v>
      </c>
      <c r="AN855" s="32" t="s">
        <v>1379</v>
      </c>
      <c r="AO855" s="38" t="s">
        <v>1380</v>
      </c>
      <c r="AP855" s="35" t="s">
        <v>396</v>
      </c>
    </row>
    <row r="856" spans="1:42" x14ac:dyDescent="0.2">
      <c r="A856" s="40">
        <v>84</v>
      </c>
      <c r="B856" s="40">
        <v>855</v>
      </c>
      <c r="C856" s="40" t="s">
        <v>149</v>
      </c>
      <c r="D856" s="54" t="s">
        <v>45</v>
      </c>
      <c r="E856" s="32" t="s">
        <v>2183</v>
      </c>
      <c r="F856" s="32" t="s">
        <v>237</v>
      </c>
      <c r="G856" s="38" t="s">
        <v>179</v>
      </c>
      <c r="H856" s="32" t="s">
        <v>115</v>
      </c>
      <c r="I856" s="32" t="s">
        <v>120</v>
      </c>
      <c r="J856" s="32" t="s">
        <v>1365</v>
      </c>
      <c r="K856" s="32" t="s">
        <v>1513</v>
      </c>
      <c r="L856" s="32" t="s">
        <v>30</v>
      </c>
      <c r="M856" s="32" t="s">
        <v>30</v>
      </c>
      <c r="N856" s="40">
        <v>2019</v>
      </c>
      <c r="O856" s="32">
        <f>VLOOKUP(Data!N639, CPI!$A$2:$B$112, 2, 0)</f>
        <v>304.67675000000003</v>
      </c>
      <c r="P856" s="32" t="s">
        <v>238</v>
      </c>
      <c r="Q856" s="32" t="s">
        <v>239</v>
      </c>
      <c r="R856" s="32" t="s">
        <v>1368</v>
      </c>
      <c r="S856" s="57">
        <v>3237210</v>
      </c>
      <c r="T856" s="32" t="s">
        <v>300</v>
      </c>
      <c r="U856" s="32">
        <f t="shared" si="48"/>
        <v>8.5687441068890617</v>
      </c>
      <c r="V856" s="32" t="s">
        <v>316</v>
      </c>
      <c r="X856" s="32">
        <f t="shared" si="51"/>
        <v>8.5687441068890617</v>
      </c>
      <c r="Y856" s="32">
        <f>(CPI!$B$112/O856)*X856</f>
        <v>8.5687441068890617</v>
      </c>
      <c r="Z856" s="38" t="s">
        <v>262</v>
      </c>
      <c r="AA856" s="35" t="s">
        <v>1412</v>
      </c>
      <c r="AB856" s="57">
        <v>377792.82</v>
      </c>
      <c r="AC856" s="35" t="s">
        <v>1412</v>
      </c>
      <c r="AH856" s="32" t="s">
        <v>411</v>
      </c>
      <c r="AJ856" s="35" t="s">
        <v>2278</v>
      </c>
      <c r="AK856" s="40" t="s">
        <v>1377</v>
      </c>
      <c r="AL856" s="32">
        <v>2022</v>
      </c>
      <c r="AM856" s="32" t="s">
        <v>1378</v>
      </c>
      <c r="AN856" s="32" t="s">
        <v>1379</v>
      </c>
      <c r="AO856" s="38" t="s">
        <v>1380</v>
      </c>
      <c r="AP856" s="35" t="s">
        <v>396</v>
      </c>
    </row>
    <row r="857" spans="1:42" x14ac:dyDescent="0.2">
      <c r="A857" s="40">
        <v>84</v>
      </c>
      <c r="B857" s="40">
        <v>856</v>
      </c>
      <c r="C857" s="40" t="s">
        <v>149</v>
      </c>
      <c r="D857" s="54" t="s">
        <v>45</v>
      </c>
      <c r="E857" s="32" t="s">
        <v>2183</v>
      </c>
      <c r="F857" s="32" t="s">
        <v>237</v>
      </c>
      <c r="G857" s="36" t="s">
        <v>2907</v>
      </c>
      <c r="H857" s="32" t="s">
        <v>115</v>
      </c>
      <c r="I857" s="32" t="s">
        <v>120</v>
      </c>
      <c r="J857" s="32" t="s">
        <v>1365</v>
      </c>
      <c r="K857" s="32" t="s">
        <v>1513</v>
      </c>
      <c r="L857" s="32" t="s">
        <v>30</v>
      </c>
      <c r="M857" s="32" t="s">
        <v>30</v>
      </c>
      <c r="N857" s="40">
        <v>2019</v>
      </c>
      <c r="O857" s="32">
        <f>VLOOKUP(Data!N640, CPI!$A$2:$B$112, 2, 0)</f>
        <v>304.67675000000003</v>
      </c>
      <c r="P857" s="32" t="s">
        <v>238</v>
      </c>
      <c r="Q857" s="32" t="s">
        <v>239</v>
      </c>
      <c r="R857" s="32" t="s">
        <v>1369</v>
      </c>
      <c r="S857" s="57">
        <v>48363800</v>
      </c>
      <c r="T857" s="32" t="s">
        <v>300</v>
      </c>
      <c r="U857" s="32">
        <f t="shared" si="48"/>
        <v>128.01672620459013</v>
      </c>
      <c r="V857" s="32" t="s">
        <v>316</v>
      </c>
      <c r="X857" s="32">
        <f t="shared" si="51"/>
        <v>128.01672620459013</v>
      </c>
      <c r="Y857" s="32">
        <f>(CPI!$B$112/O857)*X857</f>
        <v>128.01672620459013</v>
      </c>
      <c r="Z857" s="38" t="s">
        <v>262</v>
      </c>
      <c r="AA857" s="35" t="s">
        <v>1412</v>
      </c>
      <c r="AB857" s="57">
        <v>377792.82</v>
      </c>
      <c r="AC857" s="35" t="s">
        <v>1412</v>
      </c>
      <c r="AH857" s="32" t="s">
        <v>411</v>
      </c>
      <c r="AJ857" s="35" t="s">
        <v>2278</v>
      </c>
      <c r="AK857" s="40" t="s">
        <v>1377</v>
      </c>
      <c r="AL857" s="32">
        <v>2022</v>
      </c>
      <c r="AM857" s="32" t="s">
        <v>1378</v>
      </c>
      <c r="AN857" s="32" t="s">
        <v>1379</v>
      </c>
      <c r="AO857" s="38" t="s">
        <v>1380</v>
      </c>
      <c r="AP857" s="35" t="s">
        <v>396</v>
      </c>
    </row>
    <row r="858" spans="1:42" x14ac:dyDescent="0.2">
      <c r="A858" s="40">
        <v>84</v>
      </c>
      <c r="B858" s="40">
        <v>857</v>
      </c>
      <c r="C858" s="40" t="s">
        <v>149</v>
      </c>
      <c r="D858" s="54" t="s">
        <v>45</v>
      </c>
      <c r="E858" s="32" t="s">
        <v>2183</v>
      </c>
      <c r="F858" s="32" t="s">
        <v>126</v>
      </c>
      <c r="G858" s="38" t="s">
        <v>127</v>
      </c>
      <c r="H858" s="32" t="s">
        <v>115</v>
      </c>
      <c r="I858" s="32" t="s">
        <v>120</v>
      </c>
      <c r="J858" s="32" t="s">
        <v>1365</v>
      </c>
      <c r="K858" s="32" t="s">
        <v>1513</v>
      </c>
      <c r="L858" s="32" t="s">
        <v>30</v>
      </c>
      <c r="M858" s="32" t="s">
        <v>30</v>
      </c>
      <c r="N858" s="40">
        <v>2019</v>
      </c>
      <c r="O858" s="32">
        <f>VLOOKUP(Data!N641, CPI!$A$2:$B$112, 2, 0)</f>
        <v>304.67675000000003</v>
      </c>
      <c r="P858" s="32" t="s">
        <v>238</v>
      </c>
      <c r="Q858" s="32" t="s">
        <v>239</v>
      </c>
      <c r="R858" s="32" t="s">
        <v>1370</v>
      </c>
      <c r="S858" s="32">
        <v>265520</v>
      </c>
      <c r="T858" s="32" t="s">
        <v>300</v>
      </c>
      <c r="U858" s="32">
        <f t="shared" si="48"/>
        <v>0.70281907422168588</v>
      </c>
      <c r="V858" s="32" t="s">
        <v>316</v>
      </c>
      <c r="X858" s="32">
        <f t="shared" si="51"/>
        <v>0.70281907422168588</v>
      </c>
      <c r="Y858" s="32">
        <f>(CPI!$B$112/O858)*X858</f>
        <v>0.70281907422168588</v>
      </c>
      <c r="Z858" s="38" t="s">
        <v>262</v>
      </c>
      <c r="AA858" s="35" t="s">
        <v>1412</v>
      </c>
      <c r="AB858" s="57">
        <v>377792.82</v>
      </c>
      <c r="AC858" s="35" t="s">
        <v>1412</v>
      </c>
      <c r="AH858" s="32" t="s">
        <v>411</v>
      </c>
      <c r="AJ858" s="35" t="s">
        <v>2278</v>
      </c>
      <c r="AK858" s="40" t="s">
        <v>1377</v>
      </c>
      <c r="AL858" s="32">
        <v>2022</v>
      </c>
      <c r="AM858" s="32" t="s">
        <v>1378</v>
      </c>
      <c r="AN858" s="32" t="s">
        <v>1379</v>
      </c>
      <c r="AO858" s="38" t="s">
        <v>1380</v>
      </c>
      <c r="AP858" s="35" t="s">
        <v>396</v>
      </c>
    </row>
    <row r="859" spans="1:42" x14ac:dyDescent="0.2">
      <c r="A859" s="40">
        <v>84</v>
      </c>
      <c r="B859" s="40">
        <v>858</v>
      </c>
      <c r="C859" s="40" t="s">
        <v>149</v>
      </c>
      <c r="D859" s="54" t="s">
        <v>45</v>
      </c>
      <c r="E859" s="32" t="s">
        <v>2887</v>
      </c>
      <c r="F859" s="32" t="s">
        <v>121</v>
      </c>
      <c r="G859" s="38" t="s">
        <v>123</v>
      </c>
      <c r="H859" s="32" t="s">
        <v>115</v>
      </c>
      <c r="I859" s="32" t="s">
        <v>120</v>
      </c>
      <c r="J859" s="32" t="s">
        <v>1365</v>
      </c>
      <c r="K859" s="32" t="s">
        <v>1513</v>
      </c>
      <c r="L859" s="32" t="s">
        <v>30</v>
      </c>
      <c r="M859" s="32" t="s">
        <v>30</v>
      </c>
      <c r="N859" s="40">
        <v>2019</v>
      </c>
      <c r="O859" s="32">
        <f>VLOOKUP(Data!N642, CPI!$A$2:$B$112, 2, 0)</f>
        <v>304.67675000000003</v>
      </c>
      <c r="P859" s="32" t="s">
        <v>238</v>
      </c>
      <c r="Q859" s="32" t="s">
        <v>239</v>
      </c>
      <c r="R859" s="32" t="s">
        <v>1371</v>
      </c>
      <c r="S859" s="57">
        <v>157247830</v>
      </c>
      <c r="T859" s="32" t="s">
        <v>300</v>
      </c>
      <c r="U859" s="32">
        <f t="shared" si="48"/>
        <v>416.22768267538805</v>
      </c>
      <c r="V859" s="32" t="s">
        <v>316</v>
      </c>
      <c r="X859" s="32">
        <f t="shared" si="51"/>
        <v>416.22768267538805</v>
      </c>
      <c r="Y859" s="32">
        <f>(CPI!$B$112/O859)*X859</f>
        <v>416.22768267538805</v>
      </c>
      <c r="Z859" s="38" t="s">
        <v>262</v>
      </c>
      <c r="AA859" s="35" t="s">
        <v>1412</v>
      </c>
      <c r="AB859" s="57">
        <v>377792.82</v>
      </c>
      <c r="AC859" s="35" t="s">
        <v>1412</v>
      </c>
      <c r="AH859" s="32" t="s">
        <v>411</v>
      </c>
      <c r="AJ859" s="35" t="s">
        <v>2278</v>
      </c>
      <c r="AK859" s="40" t="s">
        <v>1377</v>
      </c>
      <c r="AL859" s="32">
        <v>2022</v>
      </c>
      <c r="AM859" s="32" t="s">
        <v>1378</v>
      </c>
      <c r="AN859" s="32" t="s">
        <v>1379</v>
      </c>
      <c r="AO859" s="38" t="s">
        <v>1380</v>
      </c>
      <c r="AP859" s="35" t="s">
        <v>396</v>
      </c>
    </row>
    <row r="860" spans="1:42" x14ac:dyDescent="0.2">
      <c r="A860" s="40">
        <v>84</v>
      </c>
      <c r="B860" s="40">
        <v>859</v>
      </c>
      <c r="C860" s="40" t="s">
        <v>149</v>
      </c>
      <c r="D860" s="54" t="s">
        <v>45</v>
      </c>
      <c r="E860" s="32" t="s">
        <v>2184</v>
      </c>
      <c r="F860" s="32" t="s">
        <v>155</v>
      </c>
      <c r="G860" s="38" t="s">
        <v>2923</v>
      </c>
      <c r="H860" s="32" t="s">
        <v>115</v>
      </c>
      <c r="I860" s="32" t="s">
        <v>120</v>
      </c>
      <c r="J860" s="32" t="s">
        <v>1365</v>
      </c>
      <c r="K860" s="32" t="s">
        <v>1513</v>
      </c>
      <c r="L860" s="32" t="s">
        <v>30</v>
      </c>
      <c r="M860" s="32" t="s">
        <v>30</v>
      </c>
      <c r="N860" s="40">
        <v>2019</v>
      </c>
      <c r="O860" s="32">
        <f>VLOOKUP(Data!N643, CPI!$A$2:$B$112, 2, 0)</f>
        <v>304.67675000000003</v>
      </c>
      <c r="P860" s="32" t="s">
        <v>245</v>
      </c>
      <c r="Q860" s="32" t="s">
        <v>239</v>
      </c>
      <c r="R860" s="32" t="s">
        <v>1372</v>
      </c>
      <c r="S860" s="57">
        <v>4397580</v>
      </c>
      <c r="T860" s="32" t="s">
        <v>300</v>
      </c>
      <c r="U860" s="32">
        <f t="shared" si="48"/>
        <v>11.640189456221005</v>
      </c>
      <c r="V860" s="32" t="s">
        <v>316</v>
      </c>
      <c r="X860" s="32">
        <f t="shared" si="51"/>
        <v>11.640189456221005</v>
      </c>
      <c r="Y860" s="32">
        <f>(CPI!$B$112/O860)*X860</f>
        <v>11.640189456221005</v>
      </c>
      <c r="Z860" s="38" t="s">
        <v>262</v>
      </c>
      <c r="AA860" s="35" t="s">
        <v>1412</v>
      </c>
      <c r="AB860" s="57">
        <v>377792.82</v>
      </c>
      <c r="AC860" s="35" t="s">
        <v>1412</v>
      </c>
      <c r="AH860" s="32" t="s">
        <v>411</v>
      </c>
      <c r="AJ860" s="35" t="s">
        <v>2278</v>
      </c>
      <c r="AK860" s="40" t="s">
        <v>1377</v>
      </c>
      <c r="AL860" s="32">
        <v>2022</v>
      </c>
      <c r="AM860" s="32" t="s">
        <v>1378</v>
      </c>
      <c r="AN860" s="32" t="s">
        <v>1379</v>
      </c>
      <c r="AO860" s="38" t="s">
        <v>1380</v>
      </c>
      <c r="AP860" s="35" t="s">
        <v>396</v>
      </c>
    </row>
    <row r="861" spans="1:42" x14ac:dyDescent="0.2">
      <c r="A861" s="40">
        <v>84</v>
      </c>
      <c r="B861" s="40">
        <v>860</v>
      </c>
      <c r="C861" s="40" t="s">
        <v>149</v>
      </c>
      <c r="D861" s="54" t="s">
        <v>45</v>
      </c>
      <c r="E861" s="32" t="s">
        <v>2184</v>
      </c>
      <c r="F861" s="32" t="s">
        <v>131</v>
      </c>
      <c r="G861" s="38" t="s">
        <v>133</v>
      </c>
      <c r="H861" s="32" t="s">
        <v>115</v>
      </c>
      <c r="I861" s="32" t="s">
        <v>120</v>
      </c>
      <c r="J861" s="32" t="s">
        <v>1365</v>
      </c>
      <c r="K861" s="32" t="s">
        <v>1513</v>
      </c>
      <c r="L861" s="32" t="s">
        <v>30</v>
      </c>
      <c r="M861" s="32" t="s">
        <v>30</v>
      </c>
      <c r="N861" s="40">
        <v>2019</v>
      </c>
      <c r="O861" s="32">
        <f>VLOOKUP(Data!N644, CPI!$A$2:$B$112, 2, 0)</f>
        <v>304.67675000000003</v>
      </c>
      <c r="P861" s="32" t="s">
        <v>238</v>
      </c>
      <c r="Q861" s="32" t="s">
        <v>239</v>
      </c>
      <c r="R861" s="32" t="s">
        <v>1373</v>
      </c>
      <c r="S861" s="57">
        <v>19564920</v>
      </c>
      <c r="T861" s="32" t="s">
        <v>300</v>
      </c>
      <c r="U861" s="32">
        <f t="shared" si="48"/>
        <v>51.787432063955052</v>
      </c>
      <c r="V861" s="32" t="s">
        <v>316</v>
      </c>
      <c r="X861" s="32">
        <f t="shared" si="51"/>
        <v>51.787432063955052</v>
      </c>
      <c r="Y861" s="32">
        <f>(CPI!$B$112/O861)*X861</f>
        <v>51.787432063955052</v>
      </c>
      <c r="Z861" s="38" t="s">
        <v>262</v>
      </c>
      <c r="AA861" s="35" t="s">
        <v>1412</v>
      </c>
      <c r="AB861" s="57">
        <v>377792.82</v>
      </c>
      <c r="AC861" s="35" t="s">
        <v>1412</v>
      </c>
      <c r="AH861" s="32" t="s">
        <v>411</v>
      </c>
      <c r="AJ861" s="35" t="s">
        <v>2278</v>
      </c>
      <c r="AK861" s="40" t="s">
        <v>1377</v>
      </c>
      <c r="AL861" s="32">
        <v>2022</v>
      </c>
      <c r="AM861" s="32" t="s">
        <v>1378</v>
      </c>
      <c r="AN861" s="32" t="s">
        <v>1379</v>
      </c>
      <c r="AO861" s="38" t="s">
        <v>1380</v>
      </c>
      <c r="AP861" s="35" t="s">
        <v>396</v>
      </c>
    </row>
    <row r="862" spans="1:42" x14ac:dyDescent="0.2">
      <c r="A862" s="40">
        <v>84</v>
      </c>
      <c r="B862" s="40">
        <v>861</v>
      </c>
      <c r="C862" s="40" t="s">
        <v>149</v>
      </c>
      <c r="D862" s="54" t="s">
        <v>45</v>
      </c>
      <c r="E862" s="32" t="s">
        <v>2186</v>
      </c>
      <c r="F862" s="32" t="s">
        <v>21</v>
      </c>
      <c r="G862" s="38" t="s">
        <v>163</v>
      </c>
      <c r="H862" s="32" t="s">
        <v>115</v>
      </c>
      <c r="I862" s="32" t="s">
        <v>120</v>
      </c>
      <c r="J862" s="32" t="s">
        <v>1365</v>
      </c>
      <c r="K862" s="32" t="s">
        <v>1513</v>
      </c>
      <c r="L862" s="32" t="s">
        <v>30</v>
      </c>
      <c r="M862" s="32" t="s">
        <v>30</v>
      </c>
      <c r="N862" s="40">
        <v>2019</v>
      </c>
      <c r="O862" s="32">
        <f>VLOOKUP(Data!N645, CPI!$A$2:$B$112, 2, 0)</f>
        <v>304.67675000000003</v>
      </c>
      <c r="P862" s="32" t="s">
        <v>122</v>
      </c>
      <c r="Q862" s="32" t="s">
        <v>239</v>
      </c>
      <c r="R862" s="32" t="s">
        <v>1374</v>
      </c>
      <c r="S862" s="57">
        <v>4024800</v>
      </c>
      <c r="T862" s="32" t="s">
        <v>300</v>
      </c>
      <c r="U862" s="32">
        <f t="shared" si="48"/>
        <v>10.653458157304312</v>
      </c>
      <c r="V862" s="32" t="s">
        <v>316</v>
      </c>
      <c r="X862" s="32">
        <f t="shared" si="51"/>
        <v>10.653458157304312</v>
      </c>
      <c r="Y862" s="32">
        <f>(CPI!$B$112/O862)*X862</f>
        <v>10.653458157304312</v>
      </c>
      <c r="Z862" s="38" t="s">
        <v>262</v>
      </c>
      <c r="AA862" s="35" t="s">
        <v>1412</v>
      </c>
      <c r="AB862" s="57">
        <v>377792.82</v>
      </c>
      <c r="AC862" s="35" t="s">
        <v>1412</v>
      </c>
      <c r="AH862" s="32" t="s">
        <v>411</v>
      </c>
      <c r="AJ862" s="35" t="s">
        <v>2278</v>
      </c>
      <c r="AK862" s="40" t="s">
        <v>1377</v>
      </c>
      <c r="AL862" s="32">
        <v>2022</v>
      </c>
      <c r="AM862" s="32" t="s">
        <v>1378</v>
      </c>
      <c r="AN862" s="32" t="s">
        <v>1379</v>
      </c>
      <c r="AO862" s="38" t="s">
        <v>1380</v>
      </c>
      <c r="AP862" s="35" t="s">
        <v>396</v>
      </c>
    </row>
    <row r="863" spans="1:42" x14ac:dyDescent="0.2">
      <c r="A863" s="40">
        <v>84</v>
      </c>
      <c r="B863" s="40">
        <v>862</v>
      </c>
      <c r="C863" s="40" t="s">
        <v>149</v>
      </c>
      <c r="D863" s="54" t="s">
        <v>45</v>
      </c>
      <c r="E863" s="32" t="s">
        <v>2186</v>
      </c>
      <c r="F863" s="32" t="s">
        <v>21</v>
      </c>
      <c r="G863" s="38" t="s">
        <v>163</v>
      </c>
      <c r="H863" s="32" t="s">
        <v>115</v>
      </c>
      <c r="I863" s="32" t="s">
        <v>120</v>
      </c>
      <c r="J863" s="32" t="s">
        <v>1365</v>
      </c>
      <c r="K863" s="32" t="s">
        <v>1513</v>
      </c>
      <c r="L863" s="32" t="s">
        <v>30</v>
      </c>
      <c r="M863" s="32" t="s">
        <v>30</v>
      </c>
      <c r="N863" s="40">
        <v>2019</v>
      </c>
      <c r="O863" s="32">
        <f>VLOOKUP(Data!N646, CPI!$A$2:$B$112, 2, 0)</f>
        <v>304.67675000000003</v>
      </c>
      <c r="P863" s="32" t="s">
        <v>122</v>
      </c>
      <c r="Q863" s="32" t="s">
        <v>239</v>
      </c>
      <c r="R863" s="32" t="s">
        <v>1364</v>
      </c>
      <c r="S863" s="57">
        <v>3816760</v>
      </c>
      <c r="T863" s="32" t="s">
        <v>300</v>
      </c>
      <c r="U863" s="32">
        <f t="shared" si="48"/>
        <v>10.102785966128208</v>
      </c>
      <c r="V863" s="32" t="s">
        <v>316</v>
      </c>
      <c r="X863" s="32">
        <f t="shared" si="51"/>
        <v>10.102785966128208</v>
      </c>
      <c r="Y863" s="32">
        <f>(CPI!$B$112/O863)*X863</f>
        <v>10.102785966128208</v>
      </c>
      <c r="Z863" s="38" t="s">
        <v>262</v>
      </c>
      <c r="AA863" s="35" t="s">
        <v>1412</v>
      </c>
      <c r="AB863" s="57">
        <v>377792.82</v>
      </c>
      <c r="AC863" s="35" t="s">
        <v>1412</v>
      </c>
      <c r="AH863" s="32" t="s">
        <v>411</v>
      </c>
      <c r="AJ863" s="35" t="s">
        <v>2278</v>
      </c>
      <c r="AK863" s="40" t="s">
        <v>1377</v>
      </c>
      <c r="AL863" s="32">
        <v>2022</v>
      </c>
      <c r="AM863" s="32" t="s">
        <v>1378</v>
      </c>
      <c r="AN863" s="32" t="s">
        <v>1379</v>
      </c>
      <c r="AO863" s="38" t="s">
        <v>1380</v>
      </c>
      <c r="AP863" s="35" t="s">
        <v>396</v>
      </c>
    </row>
    <row r="864" spans="1:42" x14ac:dyDescent="0.2">
      <c r="A864" s="40">
        <v>84</v>
      </c>
      <c r="B864" s="40">
        <v>863</v>
      </c>
      <c r="C864" s="40" t="s">
        <v>149</v>
      </c>
      <c r="D864" s="54" t="s">
        <v>45</v>
      </c>
      <c r="E864" s="32" t="s">
        <v>2186</v>
      </c>
      <c r="F864" s="32" t="s">
        <v>21</v>
      </c>
      <c r="G864" s="38" t="s">
        <v>163</v>
      </c>
      <c r="H864" s="32" t="s">
        <v>115</v>
      </c>
      <c r="I864" s="32" t="s">
        <v>120</v>
      </c>
      <c r="J864" s="32" t="s">
        <v>1365</v>
      </c>
      <c r="K864" s="32" t="s">
        <v>1513</v>
      </c>
      <c r="L864" s="32" t="s">
        <v>30</v>
      </c>
      <c r="M864" s="32" t="s">
        <v>30</v>
      </c>
      <c r="N864" s="40">
        <v>2019</v>
      </c>
      <c r="O864" s="32">
        <f>VLOOKUP(Data!N647, CPI!$A$2:$B$112, 2, 0)</f>
        <v>304.67675000000003</v>
      </c>
      <c r="P864" s="32" t="s">
        <v>122</v>
      </c>
      <c r="Q864" s="32" t="s">
        <v>239</v>
      </c>
      <c r="R864" s="32" t="s">
        <v>1375</v>
      </c>
      <c r="S864" s="57">
        <v>8537980</v>
      </c>
      <c r="T864" s="32" t="s">
        <v>300</v>
      </c>
      <c r="U864" s="32">
        <f t="shared" si="48"/>
        <v>22.599635429810444</v>
      </c>
      <c r="V864" s="32" t="s">
        <v>316</v>
      </c>
      <c r="X864" s="32">
        <f t="shared" si="51"/>
        <v>22.599635429810444</v>
      </c>
      <c r="Y864" s="32">
        <f>(CPI!$B$112/O864)*X864</f>
        <v>22.599635429810444</v>
      </c>
      <c r="Z864" s="38" t="s">
        <v>262</v>
      </c>
      <c r="AA864" s="35" t="s">
        <v>1412</v>
      </c>
      <c r="AB864" s="57">
        <v>377792.82</v>
      </c>
      <c r="AC864" s="35" t="s">
        <v>1412</v>
      </c>
      <c r="AH864" s="32" t="s">
        <v>411</v>
      </c>
      <c r="AJ864" s="35" t="s">
        <v>2278</v>
      </c>
      <c r="AK864" s="40" t="s">
        <v>1377</v>
      </c>
      <c r="AL864" s="32">
        <v>2022</v>
      </c>
      <c r="AM864" s="32" t="s">
        <v>1378</v>
      </c>
      <c r="AN864" s="32" t="s">
        <v>1379</v>
      </c>
      <c r="AO864" s="38" t="s">
        <v>1380</v>
      </c>
      <c r="AP864" s="35" t="s">
        <v>396</v>
      </c>
    </row>
    <row r="865" spans="1:42" x14ac:dyDescent="0.2">
      <c r="A865" s="40">
        <v>84</v>
      </c>
      <c r="B865" s="40">
        <v>864</v>
      </c>
      <c r="C865" s="40" t="s">
        <v>149</v>
      </c>
      <c r="D865" s="54" t="s">
        <v>45</v>
      </c>
      <c r="E865" s="32" t="s">
        <v>2186</v>
      </c>
      <c r="F865" s="32" t="s">
        <v>29</v>
      </c>
      <c r="G865" s="38" t="s">
        <v>29</v>
      </c>
      <c r="H865" s="32" t="s">
        <v>115</v>
      </c>
      <c r="I865" s="32" t="s">
        <v>120</v>
      </c>
      <c r="J865" s="32" t="s">
        <v>1365</v>
      </c>
      <c r="K865" s="32" t="s">
        <v>1513</v>
      </c>
      <c r="L865" s="32" t="s">
        <v>30</v>
      </c>
      <c r="M865" s="32" t="s">
        <v>30</v>
      </c>
      <c r="N865" s="40">
        <v>2019</v>
      </c>
      <c r="O865" s="32">
        <f>VLOOKUP(Data!N648, CPI!$A$2:$B$112, 2, 0)</f>
        <v>304.67675000000003</v>
      </c>
      <c r="P865" s="32" t="s">
        <v>122</v>
      </c>
      <c r="Q865" s="32" t="s">
        <v>239</v>
      </c>
      <c r="R865" s="32" t="s">
        <v>1376</v>
      </c>
      <c r="S865" s="57">
        <v>392807710</v>
      </c>
      <c r="T865" s="32" t="s">
        <v>300</v>
      </c>
      <c r="U865" s="32">
        <f t="shared" si="48"/>
        <v>1039.7437145576243</v>
      </c>
      <c r="V865" s="32" t="s">
        <v>316</v>
      </c>
      <c r="X865" s="32">
        <f t="shared" si="51"/>
        <v>1039.7437145576243</v>
      </c>
      <c r="Y865" s="32">
        <f>(CPI!$B$112/O865)*X865</f>
        <v>1039.7437145576243</v>
      </c>
      <c r="Z865" s="38" t="s">
        <v>262</v>
      </c>
      <c r="AA865" s="35" t="s">
        <v>1412</v>
      </c>
      <c r="AB865" s="57">
        <v>377792.82</v>
      </c>
      <c r="AC865" s="35" t="s">
        <v>1412</v>
      </c>
      <c r="AH865" s="32" t="s">
        <v>411</v>
      </c>
      <c r="AJ865" s="35" t="s">
        <v>2278</v>
      </c>
      <c r="AK865" s="40" t="s">
        <v>1377</v>
      </c>
      <c r="AL865" s="32">
        <v>2022</v>
      </c>
      <c r="AM865" s="32" t="s">
        <v>1378</v>
      </c>
      <c r="AN865" s="32" t="s">
        <v>1379</v>
      </c>
      <c r="AO865" s="38" t="s">
        <v>1380</v>
      </c>
      <c r="AP865" s="35" t="s">
        <v>396</v>
      </c>
    </row>
    <row r="866" spans="1:42" x14ac:dyDescent="0.2">
      <c r="A866" s="40">
        <v>85</v>
      </c>
      <c r="B866" s="40">
        <v>865</v>
      </c>
      <c r="C866" s="40" t="s">
        <v>119</v>
      </c>
      <c r="D866" s="38" t="s">
        <v>128</v>
      </c>
      <c r="E866" s="32" t="s">
        <v>2186</v>
      </c>
      <c r="F866" s="32" t="s">
        <v>29</v>
      </c>
      <c r="G866" s="38" t="s">
        <v>29</v>
      </c>
      <c r="H866" s="32" t="s">
        <v>242</v>
      </c>
      <c r="I866" s="32" t="s">
        <v>120</v>
      </c>
      <c r="J866" s="32" t="s">
        <v>1386</v>
      </c>
      <c r="K866" s="32" t="s">
        <v>1513</v>
      </c>
      <c r="L866" s="32" t="s">
        <v>30</v>
      </c>
      <c r="M866" s="32" t="s">
        <v>30</v>
      </c>
      <c r="N866" s="40">
        <v>2016</v>
      </c>
      <c r="O866" s="32">
        <f>VLOOKUP(Data!N1075, CPI!$A$2:$B$112, 2, 0)</f>
        <v>177.1</v>
      </c>
      <c r="P866" s="32" t="s">
        <v>238</v>
      </c>
      <c r="Q866" s="32" t="s">
        <v>239</v>
      </c>
      <c r="R866" s="32" t="s">
        <v>1383</v>
      </c>
      <c r="S866" s="32">
        <v>6000000</v>
      </c>
      <c r="T866" s="32" t="s">
        <v>1385</v>
      </c>
      <c r="U866" s="32">
        <f t="shared" si="48"/>
        <v>44.473104889817883</v>
      </c>
      <c r="V866" s="32" t="s">
        <v>1487</v>
      </c>
      <c r="W866" s="32">
        <f>VLOOKUP(N866, 'Exchange rate- Vietnam'!$A$2:$B$65, 2, 0)</f>
        <v>21935.000833333299</v>
      </c>
      <c r="X866" s="32">
        <f t="shared" ref="X866:X873" si="52">U866/W866</f>
        <v>2.0274950171068509E-3</v>
      </c>
      <c r="Y866" s="32">
        <f>(CPI!$B$112/O866)*X866</f>
        <v>3.4880327072462441E-3</v>
      </c>
      <c r="Z866" s="38" t="s">
        <v>1262</v>
      </c>
      <c r="AA866" s="35" t="s">
        <v>1447</v>
      </c>
      <c r="AB866" s="32">
        <v>134913</v>
      </c>
      <c r="AC866" s="32" t="s">
        <v>1464</v>
      </c>
      <c r="AH866" s="32" t="s">
        <v>411</v>
      </c>
      <c r="AK866" s="40" t="s">
        <v>1391</v>
      </c>
      <c r="AL866" s="32">
        <v>2019</v>
      </c>
      <c r="AM866" s="32" t="s">
        <v>1392</v>
      </c>
      <c r="AN866" s="32" t="s">
        <v>1393</v>
      </c>
      <c r="AO866" s="38" t="s">
        <v>1394</v>
      </c>
      <c r="AP866" s="35" t="s">
        <v>396</v>
      </c>
    </row>
    <row r="867" spans="1:42" x14ac:dyDescent="0.2">
      <c r="A867" s="40">
        <v>85</v>
      </c>
      <c r="B867" s="40">
        <v>866</v>
      </c>
      <c r="C867" s="40" t="s">
        <v>119</v>
      </c>
      <c r="D867" s="38" t="s">
        <v>128</v>
      </c>
      <c r="E867" s="32" t="s">
        <v>2186</v>
      </c>
      <c r="F867" s="32" t="s">
        <v>29</v>
      </c>
      <c r="G867" s="38" t="s">
        <v>29</v>
      </c>
      <c r="H867" s="32" t="s">
        <v>242</v>
      </c>
      <c r="I867" s="32" t="s">
        <v>120</v>
      </c>
      <c r="J867" s="32" t="s">
        <v>1386</v>
      </c>
      <c r="K867" s="32" t="s">
        <v>1513</v>
      </c>
      <c r="L867" s="32" t="s">
        <v>30</v>
      </c>
      <c r="M867" s="32" t="s">
        <v>30</v>
      </c>
      <c r="N867" s="40">
        <v>2016</v>
      </c>
      <c r="O867" s="32">
        <f>VLOOKUP(Data!N1076, CPI!$A$2:$B$112, 2, 0)</f>
        <v>177.1</v>
      </c>
      <c r="P867" s="32" t="s">
        <v>238</v>
      </c>
      <c r="Q867" s="32" t="s">
        <v>239</v>
      </c>
      <c r="R867" s="32" t="s">
        <v>1384</v>
      </c>
      <c r="S867" s="32">
        <v>850000</v>
      </c>
      <c r="T867" s="32" t="s">
        <v>1385</v>
      </c>
      <c r="U867" s="32">
        <f t="shared" si="48"/>
        <v>6.3003565260575334</v>
      </c>
      <c r="V867" s="32" t="s">
        <v>1487</v>
      </c>
      <c r="W867" s="32">
        <f>VLOOKUP(N867, 'Exchange rate- Vietnam'!$A$2:$B$65, 2, 0)</f>
        <v>21935.000833333299</v>
      </c>
      <c r="X867" s="32">
        <f t="shared" si="52"/>
        <v>2.8722846075680385E-4</v>
      </c>
      <c r="Y867" s="32">
        <f>(CPI!$B$112/O867)*X867</f>
        <v>4.9413796685988454E-4</v>
      </c>
      <c r="Z867" s="38" t="s">
        <v>1262</v>
      </c>
      <c r="AA867" s="35" t="s">
        <v>1447</v>
      </c>
      <c r="AB867" s="32">
        <v>134913</v>
      </c>
      <c r="AC867" s="32" t="s">
        <v>1464</v>
      </c>
      <c r="AH867" s="32" t="s">
        <v>411</v>
      </c>
      <c r="AK867" s="40" t="s">
        <v>1391</v>
      </c>
      <c r="AL867" s="32">
        <v>2019</v>
      </c>
      <c r="AM867" s="32" t="s">
        <v>1392</v>
      </c>
      <c r="AN867" s="32" t="s">
        <v>1393</v>
      </c>
      <c r="AO867" s="38" t="s">
        <v>1394</v>
      </c>
      <c r="AP867" s="35" t="s">
        <v>396</v>
      </c>
    </row>
    <row r="868" spans="1:42" x14ac:dyDescent="0.2">
      <c r="A868" s="40">
        <v>85</v>
      </c>
      <c r="B868" s="40">
        <v>867</v>
      </c>
      <c r="C868" s="40" t="s">
        <v>119</v>
      </c>
      <c r="D868" s="38" t="s">
        <v>128</v>
      </c>
      <c r="E868" s="32" t="s">
        <v>2186</v>
      </c>
      <c r="F868" s="32" t="s">
        <v>29</v>
      </c>
      <c r="G868" s="38" t="s">
        <v>29</v>
      </c>
      <c r="H868" s="32" t="s">
        <v>242</v>
      </c>
      <c r="I868" s="32" t="s">
        <v>120</v>
      </c>
      <c r="J868" s="32" t="s">
        <v>1386</v>
      </c>
      <c r="K868" s="32" t="s">
        <v>1513</v>
      </c>
      <c r="L868" s="32" t="s">
        <v>30</v>
      </c>
      <c r="M868" s="32" t="s">
        <v>30</v>
      </c>
      <c r="N868" s="40">
        <v>2016</v>
      </c>
      <c r="O868" s="32">
        <f>VLOOKUP(Data!N1077, CPI!$A$2:$B$112, 2, 0)</f>
        <v>177.1</v>
      </c>
      <c r="P868" s="32" t="s">
        <v>238</v>
      </c>
      <c r="Q868" s="32" t="s">
        <v>239</v>
      </c>
      <c r="R868" s="32" t="s">
        <v>1381</v>
      </c>
      <c r="S868" s="32">
        <v>2900000</v>
      </c>
      <c r="T868" s="32" t="s">
        <v>1385</v>
      </c>
      <c r="U868" s="32">
        <f t="shared" si="48"/>
        <v>21.495334030078642</v>
      </c>
      <c r="V868" s="32" t="s">
        <v>1487</v>
      </c>
      <c r="W868" s="32">
        <f>VLOOKUP(N868, 'Exchange rate- Vietnam'!$A$2:$B$65, 2, 0)</f>
        <v>21935.000833333299</v>
      </c>
      <c r="X868" s="32">
        <f t="shared" si="52"/>
        <v>9.799559249349778E-4</v>
      </c>
      <c r="Y868" s="32">
        <f>(CPI!$B$112/O868)*X868</f>
        <v>1.6858824751690177E-3</v>
      </c>
      <c r="Z868" s="38" t="s">
        <v>1262</v>
      </c>
      <c r="AA868" s="35" t="s">
        <v>1447</v>
      </c>
      <c r="AB868" s="32">
        <v>134913</v>
      </c>
      <c r="AC868" s="32" t="s">
        <v>1464</v>
      </c>
      <c r="AH868" s="32" t="s">
        <v>411</v>
      </c>
      <c r="AK868" s="40" t="s">
        <v>1391</v>
      </c>
      <c r="AL868" s="32">
        <v>2019</v>
      </c>
      <c r="AM868" s="32" t="s">
        <v>1392</v>
      </c>
      <c r="AN868" s="32" t="s">
        <v>1393</v>
      </c>
      <c r="AO868" s="38" t="s">
        <v>1394</v>
      </c>
      <c r="AP868" s="35" t="s">
        <v>396</v>
      </c>
    </row>
    <row r="869" spans="1:42" x14ac:dyDescent="0.2">
      <c r="A869" s="40">
        <v>85</v>
      </c>
      <c r="B869" s="40">
        <v>868</v>
      </c>
      <c r="C869" s="40" t="s">
        <v>119</v>
      </c>
      <c r="D869" s="38" t="s">
        <v>128</v>
      </c>
      <c r="E869" s="32" t="s">
        <v>2186</v>
      </c>
      <c r="F869" s="32" t="s">
        <v>29</v>
      </c>
      <c r="G869" s="38" t="s">
        <v>29</v>
      </c>
      <c r="H869" s="32" t="s">
        <v>242</v>
      </c>
      <c r="I869" s="32" t="s">
        <v>120</v>
      </c>
      <c r="J869" s="32" t="s">
        <v>1386</v>
      </c>
      <c r="K869" s="32" t="s">
        <v>1513</v>
      </c>
      <c r="L869" s="32" t="s">
        <v>30</v>
      </c>
      <c r="M869" s="32" t="s">
        <v>30</v>
      </c>
      <c r="N869" s="40">
        <v>2016</v>
      </c>
      <c r="O869" s="32">
        <f>VLOOKUP(Data!N1078, CPI!$A$2:$B$112, 2, 0)</f>
        <v>240.00700000000001</v>
      </c>
      <c r="P869" s="32" t="s">
        <v>238</v>
      </c>
      <c r="Q869" s="32" t="s">
        <v>239</v>
      </c>
      <c r="R869" s="32" t="s">
        <v>1382</v>
      </c>
      <c r="S869" s="32">
        <v>2900000</v>
      </c>
      <c r="T869" s="32" t="s">
        <v>1385</v>
      </c>
      <c r="U869" s="32">
        <f t="shared" si="48"/>
        <v>21.495334030078642</v>
      </c>
      <c r="V869" s="32" t="s">
        <v>1487</v>
      </c>
      <c r="W869" s="32">
        <f>VLOOKUP(N869, 'Exchange rate- Vietnam'!$A$2:$B$65, 2, 0)</f>
        <v>21935.000833333299</v>
      </c>
      <c r="X869" s="32">
        <f t="shared" si="52"/>
        <v>9.799559249349778E-4</v>
      </c>
      <c r="Y869" s="32">
        <f>(CPI!$B$112/O869)*X869</f>
        <v>1.2440044930040915E-3</v>
      </c>
      <c r="Z869" s="38" t="s">
        <v>1262</v>
      </c>
      <c r="AA869" s="35" t="s">
        <v>1447</v>
      </c>
      <c r="AB869" s="32">
        <v>134913</v>
      </c>
      <c r="AC869" s="32" t="s">
        <v>1464</v>
      </c>
      <c r="AH869" s="32" t="s">
        <v>411</v>
      </c>
      <c r="AK869" s="40" t="s">
        <v>1391</v>
      </c>
      <c r="AL869" s="32">
        <v>2019</v>
      </c>
      <c r="AM869" s="32" t="s">
        <v>1392</v>
      </c>
      <c r="AN869" s="32" t="s">
        <v>1393</v>
      </c>
      <c r="AO869" s="38" t="s">
        <v>1394</v>
      </c>
      <c r="AP869" s="35" t="s">
        <v>396</v>
      </c>
    </row>
    <row r="870" spans="1:42" x14ac:dyDescent="0.2">
      <c r="A870" s="40">
        <v>85</v>
      </c>
      <c r="B870" s="40">
        <v>869</v>
      </c>
      <c r="C870" s="40" t="s">
        <v>119</v>
      </c>
      <c r="D870" s="38" t="s">
        <v>128</v>
      </c>
      <c r="E870" s="32" t="s">
        <v>2186</v>
      </c>
      <c r="F870" s="32" t="s">
        <v>29</v>
      </c>
      <c r="G870" s="38" t="s">
        <v>29</v>
      </c>
      <c r="H870" s="32" t="s">
        <v>242</v>
      </c>
      <c r="I870" s="32" t="s">
        <v>120</v>
      </c>
      <c r="J870" s="32" t="s">
        <v>1386</v>
      </c>
      <c r="K870" s="32" t="s">
        <v>1513</v>
      </c>
      <c r="L870" s="32" t="s">
        <v>30</v>
      </c>
      <c r="M870" s="32" t="s">
        <v>30</v>
      </c>
      <c r="N870" s="40">
        <v>2016</v>
      </c>
      <c r="O870" s="32">
        <f>VLOOKUP(Data!N1079, CPI!$A$2:$B$112, 2, 0)</f>
        <v>240.00700000000001</v>
      </c>
      <c r="P870" s="32" t="s">
        <v>238</v>
      </c>
      <c r="Q870" s="32" t="s">
        <v>239</v>
      </c>
      <c r="R870" s="32" t="s">
        <v>1387</v>
      </c>
      <c r="S870" s="32">
        <v>10900000</v>
      </c>
      <c r="T870" s="32" t="s">
        <v>1385</v>
      </c>
      <c r="U870" s="32">
        <f t="shared" si="48"/>
        <v>80.792807216502482</v>
      </c>
      <c r="V870" s="32" t="s">
        <v>1487</v>
      </c>
      <c r="W870" s="32">
        <f>VLOOKUP(N870, 'Exchange rate- Vietnam'!$A$2:$B$65, 2, 0)</f>
        <v>21935.000833333299</v>
      </c>
      <c r="X870" s="32">
        <f t="shared" si="52"/>
        <v>3.6832826144107787E-3</v>
      </c>
      <c r="Y870" s="32">
        <f>(CPI!$B$112/O870)*X870</f>
        <v>4.6757410254291715E-3</v>
      </c>
      <c r="Z870" s="38" t="s">
        <v>1262</v>
      </c>
      <c r="AA870" s="35" t="s">
        <v>1447</v>
      </c>
      <c r="AB870" s="32">
        <v>134913</v>
      </c>
      <c r="AC870" s="32" t="s">
        <v>1464</v>
      </c>
      <c r="AH870" s="32" t="s">
        <v>411</v>
      </c>
      <c r="AK870" s="40" t="s">
        <v>1391</v>
      </c>
      <c r="AL870" s="32">
        <v>2019</v>
      </c>
      <c r="AM870" s="32" t="s">
        <v>1392</v>
      </c>
      <c r="AN870" s="32" t="s">
        <v>1393</v>
      </c>
      <c r="AO870" s="38" t="s">
        <v>1394</v>
      </c>
      <c r="AP870" s="35" t="s">
        <v>396</v>
      </c>
    </row>
    <row r="871" spans="1:42" x14ac:dyDescent="0.2">
      <c r="A871" s="40">
        <v>85</v>
      </c>
      <c r="B871" s="40">
        <v>870</v>
      </c>
      <c r="C871" s="40" t="s">
        <v>119</v>
      </c>
      <c r="D871" s="38" t="s">
        <v>128</v>
      </c>
      <c r="E871" s="32" t="s">
        <v>2186</v>
      </c>
      <c r="F871" s="32" t="s">
        <v>29</v>
      </c>
      <c r="G871" s="38" t="s">
        <v>29</v>
      </c>
      <c r="H871" s="32" t="s">
        <v>242</v>
      </c>
      <c r="I871" s="32" t="s">
        <v>120</v>
      </c>
      <c r="J871" s="32" t="s">
        <v>1386</v>
      </c>
      <c r="K871" s="32" t="s">
        <v>1513</v>
      </c>
      <c r="L871" s="32" t="s">
        <v>30</v>
      </c>
      <c r="M871" s="32" t="s">
        <v>30</v>
      </c>
      <c r="N871" s="40">
        <v>2016</v>
      </c>
      <c r="O871" s="32">
        <f>VLOOKUP(Data!N1080, CPI!$A$2:$B$112, 2, 0)</f>
        <v>215.303</v>
      </c>
      <c r="P871" s="32" t="s">
        <v>238</v>
      </c>
      <c r="Q871" s="32" t="s">
        <v>239</v>
      </c>
      <c r="R871" s="32" t="s">
        <v>1388</v>
      </c>
      <c r="S871" s="32">
        <v>9500000</v>
      </c>
      <c r="T871" s="32" t="s">
        <v>1385</v>
      </c>
      <c r="U871" s="32">
        <f t="shared" si="48"/>
        <v>70.415749408878312</v>
      </c>
      <c r="V871" s="32" t="s">
        <v>1487</v>
      </c>
      <c r="W871" s="32">
        <f>VLOOKUP(N871, 'Exchange rate- Vietnam'!$A$2:$B$65, 2, 0)</f>
        <v>21935.000833333299</v>
      </c>
      <c r="X871" s="32">
        <f t="shared" si="52"/>
        <v>3.2102004437525138E-3</v>
      </c>
      <c r="Y871" s="32">
        <f>(CPI!$B$112/O871)*X871</f>
        <v>4.5427766359552521E-3</v>
      </c>
      <c r="Z871" s="38" t="s">
        <v>1262</v>
      </c>
      <c r="AA871" s="35" t="s">
        <v>1447</v>
      </c>
      <c r="AB871" s="32">
        <v>134913</v>
      </c>
      <c r="AC871" s="32" t="s">
        <v>1464</v>
      </c>
      <c r="AH871" s="32" t="s">
        <v>411</v>
      </c>
      <c r="AK871" s="40" t="s">
        <v>1391</v>
      </c>
      <c r="AL871" s="32">
        <v>2019</v>
      </c>
      <c r="AM871" s="32" t="s">
        <v>1392</v>
      </c>
      <c r="AN871" s="32" t="s">
        <v>1393</v>
      </c>
      <c r="AO871" s="38" t="s">
        <v>1394</v>
      </c>
      <c r="AP871" s="35" t="s">
        <v>396</v>
      </c>
    </row>
    <row r="872" spans="1:42" x14ac:dyDescent="0.2">
      <c r="A872" s="40">
        <v>85</v>
      </c>
      <c r="B872" s="40">
        <v>871</v>
      </c>
      <c r="C872" s="40" t="s">
        <v>119</v>
      </c>
      <c r="D872" s="38" t="s">
        <v>128</v>
      </c>
      <c r="E872" s="32" t="s">
        <v>2186</v>
      </c>
      <c r="F872" s="32" t="s">
        <v>29</v>
      </c>
      <c r="G872" s="38" t="s">
        <v>29</v>
      </c>
      <c r="H872" s="32" t="s">
        <v>242</v>
      </c>
      <c r="I872" s="32" t="s">
        <v>120</v>
      </c>
      <c r="J872" s="32" t="s">
        <v>1386</v>
      </c>
      <c r="K872" s="32" t="s">
        <v>1513</v>
      </c>
      <c r="L872" s="32" t="s">
        <v>30</v>
      </c>
      <c r="M872" s="32" t="s">
        <v>30</v>
      </c>
      <c r="N872" s="40">
        <v>2016</v>
      </c>
      <c r="O872" s="32">
        <f>VLOOKUP(Data!N1081, CPI!$A$2:$B$112, 2, 0)</f>
        <v>215.303</v>
      </c>
      <c r="P872" s="32" t="s">
        <v>238</v>
      </c>
      <c r="Q872" s="32" t="s">
        <v>239</v>
      </c>
      <c r="R872" s="32" t="s">
        <v>1389</v>
      </c>
      <c r="S872" s="32">
        <v>4400000</v>
      </c>
      <c r="T872" s="32" t="s">
        <v>1385</v>
      </c>
      <c r="U872" s="32">
        <f t="shared" si="48"/>
        <v>32.613610252533114</v>
      </c>
      <c r="V872" s="32" t="s">
        <v>1487</v>
      </c>
      <c r="W872" s="32">
        <f>VLOOKUP(N872, 'Exchange rate- Vietnam'!$A$2:$B$65, 2, 0)</f>
        <v>21935.000833333299</v>
      </c>
      <c r="X872" s="32">
        <f t="shared" si="52"/>
        <v>1.4868296792116906E-3</v>
      </c>
      <c r="Y872" s="32">
        <f>(CPI!$B$112/O872)*X872</f>
        <v>2.1040228629687486E-3</v>
      </c>
      <c r="Z872" s="38" t="s">
        <v>1262</v>
      </c>
      <c r="AA872" s="35" t="s">
        <v>1447</v>
      </c>
      <c r="AB872" s="32">
        <v>134913</v>
      </c>
      <c r="AC872" s="32" t="s">
        <v>1464</v>
      </c>
      <c r="AH872" s="32" t="s">
        <v>411</v>
      </c>
      <c r="AK872" s="40" t="s">
        <v>1391</v>
      </c>
      <c r="AL872" s="32">
        <v>2019</v>
      </c>
      <c r="AM872" s="32" t="s">
        <v>1392</v>
      </c>
      <c r="AN872" s="32" t="s">
        <v>1393</v>
      </c>
      <c r="AO872" s="38" t="s">
        <v>1394</v>
      </c>
      <c r="AP872" s="35" t="s">
        <v>396</v>
      </c>
    </row>
    <row r="873" spans="1:42" x14ac:dyDescent="0.2">
      <c r="A873" s="40">
        <v>85</v>
      </c>
      <c r="B873" s="40">
        <v>872</v>
      </c>
      <c r="C873" s="40" t="s">
        <v>119</v>
      </c>
      <c r="D873" s="38" t="s">
        <v>128</v>
      </c>
      <c r="E873" s="32" t="s">
        <v>2186</v>
      </c>
      <c r="F873" s="32" t="s">
        <v>29</v>
      </c>
      <c r="G873" s="38" t="s">
        <v>29</v>
      </c>
      <c r="H873" s="32" t="s">
        <v>242</v>
      </c>
      <c r="I873" s="32" t="s">
        <v>120</v>
      </c>
      <c r="J873" s="32" t="s">
        <v>1386</v>
      </c>
      <c r="K873" s="32" t="s">
        <v>1513</v>
      </c>
      <c r="L873" s="32" t="s">
        <v>30</v>
      </c>
      <c r="M873" s="32" t="s">
        <v>30</v>
      </c>
      <c r="N873" s="40">
        <v>2016</v>
      </c>
      <c r="O873" s="32">
        <f>VLOOKUP(Data!N1082, CPI!$A$2:$B$112, 2, 0)</f>
        <v>215.303</v>
      </c>
      <c r="P873" s="32" t="s">
        <v>238</v>
      </c>
      <c r="Q873" s="32" t="s">
        <v>239</v>
      </c>
      <c r="R873" s="32" t="s">
        <v>1390</v>
      </c>
      <c r="S873" s="32">
        <v>7200000</v>
      </c>
      <c r="T873" s="32" t="s">
        <v>1385</v>
      </c>
      <c r="U873" s="32">
        <f t="shared" si="48"/>
        <v>53.367725867781459</v>
      </c>
      <c r="V873" s="32" t="s">
        <v>1487</v>
      </c>
      <c r="W873" s="32">
        <f>VLOOKUP(N873, 'Exchange rate- Vietnam'!$A$2:$B$65, 2, 0)</f>
        <v>21935.000833333299</v>
      </c>
      <c r="X873" s="32">
        <f t="shared" si="52"/>
        <v>2.432994020528221E-3</v>
      </c>
      <c r="Y873" s="32">
        <f>(CPI!$B$112/O873)*X873</f>
        <v>3.4429465030397705E-3</v>
      </c>
      <c r="Z873" s="38" t="s">
        <v>1262</v>
      </c>
      <c r="AA873" s="35" t="s">
        <v>1447</v>
      </c>
      <c r="AB873" s="32">
        <v>134913</v>
      </c>
      <c r="AC873" s="32" t="s">
        <v>1464</v>
      </c>
      <c r="AH873" s="32" t="s">
        <v>411</v>
      </c>
      <c r="AK873" s="40" t="s">
        <v>1391</v>
      </c>
      <c r="AL873" s="32">
        <v>2019</v>
      </c>
      <c r="AM873" s="32" t="s">
        <v>1392</v>
      </c>
      <c r="AN873" s="32" t="s">
        <v>1393</v>
      </c>
      <c r="AO873" s="38" t="s">
        <v>1394</v>
      </c>
      <c r="AP873" s="35" t="s">
        <v>396</v>
      </c>
    </row>
    <row r="874" spans="1:42" x14ac:dyDescent="0.2">
      <c r="A874" s="40">
        <v>86</v>
      </c>
      <c r="B874" s="40">
        <v>873</v>
      </c>
      <c r="C874" s="40" t="s">
        <v>114</v>
      </c>
      <c r="D874" s="38" t="s">
        <v>218</v>
      </c>
      <c r="E874" s="32" t="s">
        <v>2185</v>
      </c>
      <c r="F874" s="32" t="s">
        <v>2894</v>
      </c>
      <c r="G874" s="38" t="s">
        <v>142</v>
      </c>
      <c r="H874" s="32" t="s">
        <v>242</v>
      </c>
      <c r="I874" s="32" t="s">
        <v>243</v>
      </c>
      <c r="J874" s="32" t="s">
        <v>1395</v>
      </c>
      <c r="K874" s="32" t="s">
        <v>1513</v>
      </c>
      <c r="L874" s="32" t="s">
        <v>30</v>
      </c>
      <c r="M874" s="32" t="s">
        <v>30</v>
      </c>
      <c r="N874" s="40">
        <v>2007</v>
      </c>
      <c r="O874" s="32">
        <f>VLOOKUP(Data!N649, CPI!$A$2:$B$112, 2, 0)</f>
        <v>304.67675000000003</v>
      </c>
      <c r="P874" s="32" t="s">
        <v>16</v>
      </c>
      <c r="Q874" s="32" t="s">
        <v>4</v>
      </c>
      <c r="R874" s="32" t="s">
        <v>1396</v>
      </c>
      <c r="S874" s="32">
        <v>3.7</v>
      </c>
      <c r="T874" s="32" t="s">
        <v>2535</v>
      </c>
      <c r="U874" s="32">
        <f>(S874*AE874)/AB874</f>
        <v>205.55555555555554</v>
      </c>
      <c r="V874" s="32" t="s">
        <v>316</v>
      </c>
      <c r="X874" s="32">
        <f>U874</f>
        <v>205.55555555555554</v>
      </c>
      <c r="Y874" s="32">
        <f>(CPI!$B$112/O874)*X874</f>
        <v>205.55555555555554</v>
      </c>
      <c r="Z874" s="38" t="s">
        <v>262</v>
      </c>
      <c r="AA874" s="35" t="s">
        <v>1399</v>
      </c>
      <c r="AB874" s="32">
        <v>9000</v>
      </c>
      <c r="AE874" s="32">
        <v>500000</v>
      </c>
      <c r="AF874" s="32" t="s">
        <v>1399</v>
      </c>
      <c r="AH874" s="32" t="s">
        <v>411</v>
      </c>
      <c r="AJ874" s="35" t="s">
        <v>2443</v>
      </c>
      <c r="AK874" s="40" t="s">
        <v>1402</v>
      </c>
      <c r="AL874" s="32">
        <v>2009</v>
      </c>
      <c r="AM874" s="32" t="s">
        <v>1403</v>
      </c>
      <c r="AN874" s="32" t="s">
        <v>1404</v>
      </c>
      <c r="AO874" s="38" t="s">
        <v>1405</v>
      </c>
      <c r="AP874" s="35" t="s">
        <v>396</v>
      </c>
    </row>
    <row r="875" spans="1:42" x14ac:dyDescent="0.2">
      <c r="A875" s="40">
        <v>86</v>
      </c>
      <c r="B875" s="40">
        <v>874</v>
      </c>
      <c r="C875" s="40" t="s">
        <v>114</v>
      </c>
      <c r="D875" s="38" t="s">
        <v>218</v>
      </c>
      <c r="E875" s="32" t="s">
        <v>2185</v>
      </c>
      <c r="F875" s="32" t="s">
        <v>2894</v>
      </c>
      <c r="G875" s="38" t="s">
        <v>142</v>
      </c>
      <c r="H875" s="32" t="s">
        <v>242</v>
      </c>
      <c r="I875" s="32" t="s">
        <v>243</v>
      </c>
      <c r="J875" s="32" t="s">
        <v>1395</v>
      </c>
      <c r="K875" s="32" t="s">
        <v>1513</v>
      </c>
      <c r="L875" s="32" t="s">
        <v>30</v>
      </c>
      <c r="M875" s="32" t="s">
        <v>30</v>
      </c>
      <c r="N875" s="40">
        <v>2007</v>
      </c>
      <c r="O875" s="32">
        <f>VLOOKUP(Data!N650, CPI!$A$2:$B$112, 2, 0)</f>
        <v>107.6</v>
      </c>
      <c r="P875" s="32" t="s">
        <v>16</v>
      </c>
      <c r="Q875" s="32" t="s">
        <v>4</v>
      </c>
      <c r="R875" s="32" t="s">
        <v>1397</v>
      </c>
      <c r="S875" s="32">
        <v>5.5</v>
      </c>
      <c r="T875" s="32" t="s">
        <v>2535</v>
      </c>
      <c r="U875" s="32">
        <f>(S875*AE875)/AB875</f>
        <v>305.55555555555554</v>
      </c>
      <c r="V875" s="32" t="s">
        <v>316</v>
      </c>
      <c r="X875" s="32">
        <f>U875</f>
        <v>305.55555555555554</v>
      </c>
      <c r="Y875" s="32">
        <f>(CPI!$B$112/O875)*X875</f>
        <v>865.20142761255681</v>
      </c>
      <c r="Z875" s="38" t="s">
        <v>262</v>
      </c>
      <c r="AA875" s="35" t="s">
        <v>1399</v>
      </c>
      <c r="AB875" s="32">
        <v>9000</v>
      </c>
      <c r="AE875" s="32">
        <v>500000</v>
      </c>
      <c r="AF875" s="32" t="s">
        <v>1399</v>
      </c>
      <c r="AH875" s="32" t="s">
        <v>411</v>
      </c>
      <c r="AJ875" s="35" t="s">
        <v>2443</v>
      </c>
      <c r="AK875" s="40" t="s">
        <v>1402</v>
      </c>
      <c r="AL875" s="32">
        <v>2009</v>
      </c>
      <c r="AM875" s="32" t="s">
        <v>1403</v>
      </c>
      <c r="AN875" s="32" t="s">
        <v>1404</v>
      </c>
      <c r="AO875" s="38" t="s">
        <v>1405</v>
      </c>
      <c r="AP875" s="35" t="s">
        <v>396</v>
      </c>
    </row>
    <row r="876" spans="1:42" x14ac:dyDescent="0.2">
      <c r="A876" s="40">
        <v>86</v>
      </c>
      <c r="B876" s="40">
        <v>875</v>
      </c>
      <c r="C876" s="40" t="s">
        <v>114</v>
      </c>
      <c r="D876" s="38" t="s">
        <v>218</v>
      </c>
      <c r="E876" s="32" t="s">
        <v>2185</v>
      </c>
      <c r="F876" s="32" t="s">
        <v>2894</v>
      </c>
      <c r="G876" s="38" t="s">
        <v>142</v>
      </c>
      <c r="H876" s="32" t="s">
        <v>242</v>
      </c>
      <c r="I876" s="32" t="s">
        <v>243</v>
      </c>
      <c r="J876" s="32" t="s">
        <v>1395</v>
      </c>
      <c r="K876" s="32" t="s">
        <v>1513</v>
      </c>
      <c r="L876" s="32" t="s">
        <v>30</v>
      </c>
      <c r="M876" s="32" t="s">
        <v>30</v>
      </c>
      <c r="N876" s="40">
        <v>2007</v>
      </c>
      <c r="O876" s="32">
        <f>VLOOKUP(Data!N651, CPI!$A$2:$B$112, 2, 0)</f>
        <v>107.6</v>
      </c>
      <c r="P876" s="32" t="s">
        <v>16</v>
      </c>
      <c r="Q876" s="32" t="s">
        <v>4</v>
      </c>
      <c r="R876" s="32" t="s">
        <v>1400</v>
      </c>
      <c r="S876" s="32">
        <v>3150000</v>
      </c>
      <c r="T876" s="32" t="s">
        <v>300</v>
      </c>
      <c r="U876" s="32">
        <f>S876/AB876</f>
        <v>350</v>
      </c>
      <c r="V876" s="32" t="s">
        <v>316</v>
      </c>
      <c r="X876" s="32">
        <f>U876</f>
        <v>350</v>
      </c>
      <c r="Y876" s="32">
        <f>(CPI!$B$112/O876)*X876</f>
        <v>991.0489079925652</v>
      </c>
      <c r="Z876" s="38" t="s">
        <v>262</v>
      </c>
      <c r="AA876" s="35" t="s">
        <v>1399</v>
      </c>
      <c r="AB876" s="32">
        <v>9000</v>
      </c>
      <c r="AE876" s="32">
        <v>500000</v>
      </c>
      <c r="AF876" s="32" t="s">
        <v>1399</v>
      </c>
      <c r="AH876" s="32" t="s">
        <v>411</v>
      </c>
      <c r="AJ876" s="35" t="s">
        <v>2278</v>
      </c>
      <c r="AK876" s="40" t="s">
        <v>1402</v>
      </c>
      <c r="AL876" s="32">
        <v>2009</v>
      </c>
      <c r="AM876" s="32" t="s">
        <v>1403</v>
      </c>
      <c r="AN876" s="32" t="s">
        <v>1404</v>
      </c>
      <c r="AO876" s="38" t="s">
        <v>1405</v>
      </c>
      <c r="AP876" s="35" t="s">
        <v>396</v>
      </c>
    </row>
    <row r="877" spans="1:42" x14ac:dyDescent="0.2">
      <c r="A877" s="40">
        <v>86</v>
      </c>
      <c r="B877" s="40">
        <v>876</v>
      </c>
      <c r="C877" s="40" t="s">
        <v>114</v>
      </c>
      <c r="D877" s="38" t="s">
        <v>218</v>
      </c>
      <c r="E877" s="32" t="s">
        <v>2185</v>
      </c>
      <c r="F877" s="32" t="s">
        <v>2894</v>
      </c>
      <c r="G877" s="38" t="s">
        <v>142</v>
      </c>
      <c r="H877" s="32" t="s">
        <v>242</v>
      </c>
      <c r="I877" s="32" t="s">
        <v>243</v>
      </c>
      <c r="J877" s="32" t="s">
        <v>1395</v>
      </c>
      <c r="K877" s="32" t="s">
        <v>1513</v>
      </c>
      <c r="L877" s="32" t="s">
        <v>30</v>
      </c>
      <c r="M877" s="32" t="s">
        <v>30</v>
      </c>
      <c r="N877" s="40">
        <v>2007</v>
      </c>
      <c r="O877" s="32">
        <f>VLOOKUP(Data!N652, CPI!$A$2:$B$112, 2, 0)</f>
        <v>107.6</v>
      </c>
      <c r="P877" s="32" t="s">
        <v>16</v>
      </c>
      <c r="Q877" s="32" t="s">
        <v>4</v>
      </c>
      <c r="R877" s="32" t="s">
        <v>1401</v>
      </c>
      <c r="S877" s="32">
        <v>2540000</v>
      </c>
      <c r="T877" s="32" t="s">
        <v>300</v>
      </c>
      <c r="U877" s="32">
        <f>S877/AB877</f>
        <v>282.22222222222223</v>
      </c>
      <c r="V877" s="32" t="s">
        <v>316</v>
      </c>
      <c r="X877" s="32">
        <f>U877</f>
        <v>282.22222222222223</v>
      </c>
      <c r="Y877" s="32">
        <f>(CPI!$B$112/O877)*X877</f>
        <v>799.13150041305255</v>
      </c>
      <c r="Z877" s="38" t="s">
        <v>262</v>
      </c>
      <c r="AA877" s="35" t="s">
        <v>1399</v>
      </c>
      <c r="AB877" s="32">
        <v>9000</v>
      </c>
      <c r="AE877" s="32">
        <v>500000</v>
      </c>
      <c r="AF877" s="32" t="s">
        <v>1399</v>
      </c>
      <c r="AH877" s="32" t="s">
        <v>411</v>
      </c>
      <c r="AJ877" s="35" t="s">
        <v>2278</v>
      </c>
      <c r="AK877" s="40" t="s">
        <v>1402</v>
      </c>
      <c r="AL877" s="32">
        <v>2009</v>
      </c>
      <c r="AM877" s="32" t="s">
        <v>1403</v>
      </c>
      <c r="AN877" s="32" t="s">
        <v>1404</v>
      </c>
      <c r="AO877" s="38" t="s">
        <v>1405</v>
      </c>
      <c r="AP877" s="35" t="s">
        <v>396</v>
      </c>
    </row>
    <row r="878" spans="1:42" x14ac:dyDescent="0.2">
      <c r="A878" s="40">
        <v>86</v>
      </c>
      <c r="B878" s="40">
        <v>877</v>
      </c>
      <c r="C878" s="40" t="s">
        <v>114</v>
      </c>
      <c r="D878" s="38" t="s">
        <v>218</v>
      </c>
      <c r="E878" s="32" t="s">
        <v>2185</v>
      </c>
      <c r="F878" s="32" t="s">
        <v>2894</v>
      </c>
      <c r="G878" s="38" t="s">
        <v>142</v>
      </c>
      <c r="H878" s="32" t="s">
        <v>242</v>
      </c>
      <c r="I878" s="32" t="s">
        <v>243</v>
      </c>
      <c r="J878" s="32" t="s">
        <v>1395</v>
      </c>
      <c r="K878" s="32" t="s">
        <v>1513</v>
      </c>
      <c r="L878" s="32" t="s">
        <v>30</v>
      </c>
      <c r="M878" s="32" t="s">
        <v>30</v>
      </c>
      <c r="N878" s="40">
        <v>2007</v>
      </c>
      <c r="O878" s="32">
        <f>VLOOKUP(Data!N1083, CPI!$A$2:$B$112, 2, 0)</f>
        <v>215.303</v>
      </c>
      <c r="P878" s="32" t="s">
        <v>16</v>
      </c>
      <c r="Q878" s="32" t="s">
        <v>4</v>
      </c>
      <c r="R878" s="32" t="s">
        <v>2536</v>
      </c>
      <c r="S878" s="32">
        <v>854</v>
      </c>
      <c r="T878" s="32" t="s">
        <v>2539</v>
      </c>
      <c r="U878" s="32">
        <f>(S878*AE878)/AB878</f>
        <v>94888.888888888891</v>
      </c>
      <c r="V878" s="32" t="s">
        <v>1487</v>
      </c>
      <c r="W878" s="32">
        <f>VLOOKUP(N878, 'Exchange rate- Vietnam'!$A$2:$B$65, 2, 0)</f>
        <v>16105.125</v>
      </c>
      <c r="X878" s="32">
        <f>U878/W878</f>
        <v>5.8918442973208149</v>
      </c>
      <c r="Y878" s="32">
        <f>(CPI!$B$112/O878)*X878</f>
        <v>8.3375892208364011</v>
      </c>
      <c r="Z878" s="38" t="s">
        <v>1262</v>
      </c>
      <c r="AA878" s="35" t="s">
        <v>1399</v>
      </c>
      <c r="AB878" s="32">
        <v>9000</v>
      </c>
      <c r="AE878" s="32">
        <f>500000*2</f>
        <v>1000000</v>
      </c>
      <c r="AF878" s="32" t="s">
        <v>1399</v>
      </c>
      <c r="AH878" s="32" t="s">
        <v>411</v>
      </c>
      <c r="AJ878" s="35" t="s">
        <v>2443</v>
      </c>
      <c r="AK878" s="40" t="s">
        <v>1402</v>
      </c>
      <c r="AL878" s="32">
        <v>2009</v>
      </c>
      <c r="AM878" s="32" t="s">
        <v>1403</v>
      </c>
      <c r="AN878" s="32" t="s">
        <v>1404</v>
      </c>
      <c r="AO878" s="38" t="s">
        <v>1405</v>
      </c>
      <c r="AP878" s="35" t="s">
        <v>396</v>
      </c>
    </row>
    <row r="879" spans="1:42" x14ac:dyDescent="0.2">
      <c r="A879" s="40">
        <v>86</v>
      </c>
      <c r="B879" s="40">
        <v>878</v>
      </c>
      <c r="C879" s="40" t="s">
        <v>114</v>
      </c>
      <c r="D879" s="38" t="s">
        <v>218</v>
      </c>
      <c r="E879" s="32" t="s">
        <v>2185</v>
      </c>
      <c r="F879" s="32" t="s">
        <v>2894</v>
      </c>
      <c r="G879" s="38" t="s">
        <v>142</v>
      </c>
      <c r="H879" s="32" t="s">
        <v>242</v>
      </c>
      <c r="I879" s="32" t="s">
        <v>243</v>
      </c>
      <c r="J879" s="32" t="s">
        <v>1395</v>
      </c>
      <c r="K879" s="32" t="s">
        <v>1513</v>
      </c>
      <c r="L879" s="32" t="s">
        <v>30</v>
      </c>
      <c r="M879" s="32" t="s">
        <v>30</v>
      </c>
      <c r="N879" s="40">
        <v>2007</v>
      </c>
      <c r="O879" s="32">
        <f>VLOOKUP(Data!N1084, CPI!$A$2:$B$112, 2, 0)</f>
        <v>215.303</v>
      </c>
      <c r="P879" s="32" t="s">
        <v>16</v>
      </c>
      <c r="Q879" s="32" t="s">
        <v>4</v>
      </c>
      <c r="R879" s="32" t="s">
        <v>2537</v>
      </c>
      <c r="S879" s="32">
        <v>840</v>
      </c>
      <c r="T879" s="32" t="s">
        <v>2539</v>
      </c>
      <c r="U879" s="32">
        <f>(S879*AE879)/AB879</f>
        <v>93333.333333333328</v>
      </c>
      <c r="V879" s="32" t="s">
        <v>1487</v>
      </c>
      <c r="W879" s="32">
        <f>VLOOKUP(N879, 'Exchange rate- Vietnam'!$A$2:$B$65, 2, 0)</f>
        <v>16105.125</v>
      </c>
      <c r="X879" s="32">
        <f>U879/W879</f>
        <v>5.795256685889326</v>
      </c>
      <c r="Y879" s="32">
        <f>(CPI!$B$112/O879)*X879</f>
        <v>8.2009074303308864</v>
      </c>
      <c r="Z879" s="38" t="s">
        <v>1262</v>
      </c>
      <c r="AA879" s="35" t="s">
        <v>1399</v>
      </c>
      <c r="AB879" s="32">
        <v>9000</v>
      </c>
      <c r="AE879" s="32">
        <f>500000*2</f>
        <v>1000000</v>
      </c>
      <c r="AF879" s="32" t="s">
        <v>1399</v>
      </c>
      <c r="AH879" s="32" t="s">
        <v>411</v>
      </c>
      <c r="AJ879" s="35" t="s">
        <v>2443</v>
      </c>
      <c r="AK879" s="40" t="s">
        <v>1402</v>
      </c>
      <c r="AL879" s="32">
        <v>2009</v>
      </c>
      <c r="AM879" s="32" t="s">
        <v>1403</v>
      </c>
      <c r="AN879" s="32" t="s">
        <v>1404</v>
      </c>
      <c r="AO879" s="38" t="s">
        <v>1405</v>
      </c>
      <c r="AP879" s="35" t="s">
        <v>396</v>
      </c>
    </row>
    <row r="880" spans="1:42" x14ac:dyDescent="0.2">
      <c r="A880" s="40">
        <v>86</v>
      </c>
      <c r="B880" s="40">
        <v>879</v>
      </c>
      <c r="C880" s="40" t="s">
        <v>114</v>
      </c>
      <c r="D880" s="38" t="s">
        <v>218</v>
      </c>
      <c r="E880" s="32" t="s">
        <v>2185</v>
      </c>
      <c r="F880" s="32" t="s">
        <v>2894</v>
      </c>
      <c r="G880" s="38" t="s">
        <v>142</v>
      </c>
      <c r="H880" s="32" t="s">
        <v>242</v>
      </c>
      <c r="I880" s="32" t="s">
        <v>243</v>
      </c>
      <c r="J880" s="32" t="s">
        <v>1395</v>
      </c>
      <c r="K880" s="32" t="s">
        <v>1513</v>
      </c>
      <c r="L880" s="32" t="s">
        <v>30</v>
      </c>
      <c r="M880" s="32" t="s">
        <v>30</v>
      </c>
      <c r="N880" s="40">
        <v>2007</v>
      </c>
      <c r="O880" s="32">
        <f>VLOOKUP(Data!N1085, CPI!$A$2:$B$112, 2, 0)</f>
        <v>215.303</v>
      </c>
      <c r="P880" s="32" t="s">
        <v>16</v>
      </c>
      <c r="Q880" s="32" t="s">
        <v>4</v>
      </c>
      <c r="R880" s="32" t="s">
        <v>2538</v>
      </c>
      <c r="S880" s="32">
        <v>920</v>
      </c>
      <c r="T880" s="32" t="s">
        <v>2539</v>
      </c>
      <c r="U880" s="32">
        <f>(S880*AE880)/AB880</f>
        <v>102222.22222222222</v>
      </c>
      <c r="V880" s="32" t="s">
        <v>1487</v>
      </c>
      <c r="W880" s="32">
        <f>VLOOKUP(N880, 'Exchange rate- Vietnam'!$A$2:$B$65, 2, 0)</f>
        <v>16105.125</v>
      </c>
      <c r="X880" s="32">
        <f>U880/W880</f>
        <v>6.3471858940692618</v>
      </c>
      <c r="Y880" s="32">
        <f>(CPI!$B$112/O880)*X880</f>
        <v>8.9819462332195421</v>
      </c>
      <c r="Z880" s="38" t="s">
        <v>1262</v>
      </c>
      <c r="AA880" s="35" t="s">
        <v>1399</v>
      </c>
      <c r="AB880" s="32">
        <v>9000</v>
      </c>
      <c r="AE880" s="32">
        <f>500000*2</f>
        <v>1000000</v>
      </c>
      <c r="AF880" s="32" t="s">
        <v>1399</v>
      </c>
      <c r="AH880" s="32" t="s">
        <v>411</v>
      </c>
      <c r="AJ880" s="35" t="s">
        <v>2443</v>
      </c>
      <c r="AK880" s="40" t="s">
        <v>1402</v>
      </c>
      <c r="AL880" s="32">
        <v>2009</v>
      </c>
      <c r="AM880" s="32" t="s">
        <v>1403</v>
      </c>
      <c r="AN880" s="32" t="s">
        <v>1404</v>
      </c>
      <c r="AO880" s="38" t="s">
        <v>1405</v>
      </c>
      <c r="AP880" s="35" t="s">
        <v>396</v>
      </c>
    </row>
    <row r="881" spans="1:42" x14ac:dyDescent="0.2">
      <c r="A881" s="40">
        <v>87</v>
      </c>
      <c r="B881" s="40">
        <v>880</v>
      </c>
      <c r="C881" s="40" t="s">
        <v>149</v>
      </c>
      <c r="D881" s="54" t="s">
        <v>45</v>
      </c>
      <c r="E881" s="32" t="s">
        <v>2186</v>
      </c>
      <c r="F881" s="32" t="s">
        <v>2962</v>
      </c>
      <c r="G881" s="38" t="s">
        <v>2955</v>
      </c>
      <c r="H881" s="32" t="s">
        <v>30</v>
      </c>
      <c r="I881" s="32" t="s">
        <v>243</v>
      </c>
      <c r="J881" s="32" t="s">
        <v>1406</v>
      </c>
      <c r="K881" s="32" t="s">
        <v>1513</v>
      </c>
      <c r="L881" s="32" t="s">
        <v>30</v>
      </c>
      <c r="M881" s="32" t="s">
        <v>30</v>
      </c>
      <c r="N881" s="40">
        <v>2017</v>
      </c>
      <c r="O881" s="32">
        <f>VLOOKUP(Data!N653, CPI!$A$2:$B$112, 2, 0)</f>
        <v>107.6</v>
      </c>
      <c r="P881" s="32" t="s">
        <v>21</v>
      </c>
      <c r="Q881" s="32" t="s">
        <v>239</v>
      </c>
      <c r="R881" s="32" t="s">
        <v>1411</v>
      </c>
      <c r="S881" s="32">
        <v>6874000</v>
      </c>
      <c r="T881" s="32" t="s">
        <v>300</v>
      </c>
      <c r="U881" s="32">
        <f>S881/AB881</f>
        <v>524.73282442748086</v>
      </c>
      <c r="V881" s="32" t="s">
        <v>316</v>
      </c>
      <c r="X881" s="32">
        <f t="shared" ref="X881:X912" si="53">U881</f>
        <v>524.73282442748086</v>
      </c>
      <c r="Y881" s="32">
        <f>(CPI!$B$112/O881)*X881</f>
        <v>1485.8168361048838</v>
      </c>
      <c r="Z881" s="38" t="s">
        <v>262</v>
      </c>
      <c r="AA881" s="35" t="s">
        <v>1412</v>
      </c>
      <c r="AB881" s="32">
        <v>13100</v>
      </c>
      <c r="AC881" s="32" t="s">
        <v>2540</v>
      </c>
      <c r="AH881" s="32" t="s">
        <v>411</v>
      </c>
      <c r="AI881" s="32" t="s">
        <v>1410</v>
      </c>
      <c r="AJ881" s="35" t="s">
        <v>2278</v>
      </c>
      <c r="AK881" s="40" t="s">
        <v>1413</v>
      </c>
      <c r="AL881" s="32">
        <v>2022</v>
      </c>
      <c r="AM881" s="32" t="s">
        <v>1414</v>
      </c>
      <c r="AN881" s="32" t="s">
        <v>1415</v>
      </c>
      <c r="AO881" s="38" t="s">
        <v>1416</v>
      </c>
      <c r="AP881" s="35" t="s">
        <v>396</v>
      </c>
    </row>
    <row r="882" spans="1:42" x14ac:dyDescent="0.2">
      <c r="A882" s="40">
        <v>87</v>
      </c>
      <c r="B882" s="40">
        <v>881</v>
      </c>
      <c r="C882" s="40" t="s">
        <v>149</v>
      </c>
      <c r="D882" s="54" t="s">
        <v>45</v>
      </c>
      <c r="E882" s="32" t="s">
        <v>2184</v>
      </c>
      <c r="F882" s="32" t="s">
        <v>155</v>
      </c>
      <c r="G882" s="38" t="s">
        <v>2923</v>
      </c>
      <c r="H882" s="32" t="s">
        <v>30</v>
      </c>
      <c r="I882" s="32" t="s">
        <v>243</v>
      </c>
      <c r="J882" s="32" t="s">
        <v>1406</v>
      </c>
      <c r="K882" s="32" t="s">
        <v>1513</v>
      </c>
      <c r="L882" s="32" t="s">
        <v>30</v>
      </c>
      <c r="M882" s="32" t="s">
        <v>30</v>
      </c>
      <c r="N882" s="40">
        <v>2017</v>
      </c>
      <c r="O882" s="32">
        <f>VLOOKUP(Data!N654, CPI!$A$2:$B$112, 2, 0)</f>
        <v>107.6</v>
      </c>
      <c r="P882" s="32" t="s">
        <v>245</v>
      </c>
      <c r="Q882" s="32" t="s">
        <v>239</v>
      </c>
      <c r="R882" s="32" t="s">
        <v>1407</v>
      </c>
      <c r="S882" s="32">
        <v>2584000</v>
      </c>
      <c r="T882" s="32" t="s">
        <v>300</v>
      </c>
      <c r="U882" s="32">
        <f>S882/AB882</f>
        <v>1469.0164866401365</v>
      </c>
      <c r="V882" s="32" t="s">
        <v>316</v>
      </c>
      <c r="X882" s="32">
        <f t="shared" si="53"/>
        <v>1469.0164866401365</v>
      </c>
      <c r="Y882" s="32">
        <f>(CPI!$B$112/O882)*X882</f>
        <v>4159.620528307948</v>
      </c>
      <c r="Z882" s="38" t="s">
        <v>262</v>
      </c>
      <c r="AA882" s="35" t="s">
        <v>1412</v>
      </c>
      <c r="AB882" s="32">
        <v>1759</v>
      </c>
      <c r="AC882" s="32" t="s">
        <v>2540</v>
      </c>
      <c r="AH882" s="32" t="s">
        <v>411</v>
      </c>
      <c r="AJ882" s="35" t="s">
        <v>2278</v>
      </c>
      <c r="AK882" s="40" t="s">
        <v>1413</v>
      </c>
      <c r="AL882" s="32">
        <v>2022</v>
      </c>
      <c r="AM882" s="32" t="s">
        <v>1414</v>
      </c>
      <c r="AN882" s="32" t="s">
        <v>1415</v>
      </c>
      <c r="AO882" s="38" t="s">
        <v>1416</v>
      </c>
      <c r="AP882" s="35" t="s">
        <v>396</v>
      </c>
    </row>
    <row r="883" spans="1:42" x14ac:dyDescent="0.2">
      <c r="A883" s="40">
        <v>87</v>
      </c>
      <c r="B883" s="40">
        <v>882</v>
      </c>
      <c r="C883" s="40" t="s">
        <v>149</v>
      </c>
      <c r="D883" s="54" t="s">
        <v>45</v>
      </c>
      <c r="E883" s="32" t="s">
        <v>2184</v>
      </c>
      <c r="F883" s="32" t="s">
        <v>131</v>
      </c>
      <c r="G883" s="38" t="s">
        <v>133</v>
      </c>
      <c r="H883" s="32" t="s">
        <v>30</v>
      </c>
      <c r="I883" s="32" t="s">
        <v>243</v>
      </c>
      <c r="J883" s="32" t="s">
        <v>1406</v>
      </c>
      <c r="K883" s="32" t="s">
        <v>1513</v>
      </c>
      <c r="L883" s="32" t="s">
        <v>30</v>
      </c>
      <c r="M883" s="32" t="s">
        <v>30</v>
      </c>
      <c r="N883" s="40">
        <v>2017</v>
      </c>
      <c r="O883" s="32">
        <f>VLOOKUP(Data!N655, CPI!$A$2:$B$112, 2, 0)</f>
        <v>107.6</v>
      </c>
      <c r="P883" s="32" t="s">
        <v>132</v>
      </c>
      <c r="Q883" s="32" t="s">
        <v>239</v>
      </c>
      <c r="R883" s="32" t="s">
        <v>1408</v>
      </c>
      <c r="S883" s="32">
        <v>2190000</v>
      </c>
      <c r="T883" s="32" t="s">
        <v>300</v>
      </c>
      <c r="U883" s="32">
        <f>S883/AB883</f>
        <v>292.07788743664975</v>
      </c>
      <c r="V883" s="32" t="s">
        <v>316</v>
      </c>
      <c r="X883" s="32">
        <f t="shared" si="53"/>
        <v>292.07788743664975</v>
      </c>
      <c r="Y883" s="32">
        <f>(CPI!$B$112/O883)*X883</f>
        <v>827.03848969390594</v>
      </c>
      <c r="Z883" s="38" t="s">
        <v>262</v>
      </c>
      <c r="AA883" s="35" t="s">
        <v>1412</v>
      </c>
      <c r="AB883" s="32">
        <v>7498</v>
      </c>
      <c r="AC883" s="32" t="s">
        <v>2540</v>
      </c>
      <c r="AH883" s="32" t="s">
        <v>411</v>
      </c>
      <c r="AJ883" s="35" t="s">
        <v>2278</v>
      </c>
      <c r="AK883" s="40" t="s">
        <v>1413</v>
      </c>
      <c r="AL883" s="32">
        <v>2022</v>
      </c>
      <c r="AM883" s="32" t="s">
        <v>1414</v>
      </c>
      <c r="AN883" s="32" t="s">
        <v>1415</v>
      </c>
      <c r="AO883" s="38" t="s">
        <v>1416</v>
      </c>
      <c r="AP883" s="35" t="s">
        <v>396</v>
      </c>
    </row>
    <row r="884" spans="1:42" x14ac:dyDescent="0.2">
      <c r="A884" s="40">
        <v>87</v>
      </c>
      <c r="B884" s="40">
        <v>883</v>
      </c>
      <c r="C884" s="40" t="s">
        <v>149</v>
      </c>
      <c r="D884" s="54" t="s">
        <v>45</v>
      </c>
      <c r="E884" s="32" t="s">
        <v>2184</v>
      </c>
      <c r="F884" s="32" t="s">
        <v>110</v>
      </c>
      <c r="G884" s="38" t="s">
        <v>112</v>
      </c>
      <c r="H884" s="32" t="s">
        <v>30</v>
      </c>
      <c r="I884" s="32" t="s">
        <v>243</v>
      </c>
      <c r="J884" s="32" t="s">
        <v>1406</v>
      </c>
      <c r="K884" s="32" t="s">
        <v>1513</v>
      </c>
      <c r="L884" s="32" t="s">
        <v>30</v>
      </c>
      <c r="M884" s="32" t="s">
        <v>30</v>
      </c>
      <c r="N884" s="40">
        <v>2017</v>
      </c>
      <c r="O884" s="32">
        <f>VLOOKUP(Data!N656, CPI!$A$2:$B$112, 2, 0)</f>
        <v>107.6</v>
      </c>
      <c r="P884" s="32" t="s">
        <v>132</v>
      </c>
      <c r="Q884" s="32" t="s">
        <v>239</v>
      </c>
      <c r="R884" s="32" t="s">
        <v>1409</v>
      </c>
      <c r="S884" s="32">
        <v>2100000</v>
      </c>
      <c r="T884" s="32" t="s">
        <v>300</v>
      </c>
      <c r="U884" s="32">
        <f>S884/AB884</f>
        <v>1193.8601478112564</v>
      </c>
      <c r="V884" s="32" t="s">
        <v>316</v>
      </c>
      <c r="X884" s="32">
        <f t="shared" si="53"/>
        <v>1193.8601478112564</v>
      </c>
      <c r="Y884" s="32">
        <f>(CPI!$B$112/O884)*X884</f>
        <v>3380.4965593833945</v>
      </c>
      <c r="Z884" s="38" t="s">
        <v>262</v>
      </c>
      <c r="AA884" s="35" t="s">
        <v>1412</v>
      </c>
      <c r="AB884" s="32">
        <v>1759</v>
      </c>
      <c r="AC884" s="32" t="s">
        <v>2540</v>
      </c>
      <c r="AH884" s="32" t="s">
        <v>411</v>
      </c>
      <c r="AJ884" s="35" t="s">
        <v>2278</v>
      </c>
      <c r="AK884" s="40" t="s">
        <v>1413</v>
      </c>
      <c r="AL884" s="32">
        <v>2022</v>
      </c>
      <c r="AM884" s="32" t="s">
        <v>1414</v>
      </c>
      <c r="AN884" s="32" t="s">
        <v>1415</v>
      </c>
      <c r="AO884" s="38" t="s">
        <v>1416</v>
      </c>
      <c r="AP884" s="35" t="s">
        <v>396</v>
      </c>
    </row>
    <row r="885" spans="1:42" x14ac:dyDescent="0.2">
      <c r="A885" s="40">
        <v>88</v>
      </c>
      <c r="B885" s="40">
        <v>884</v>
      </c>
      <c r="C885" s="40" t="s">
        <v>119</v>
      </c>
      <c r="D885" s="38" t="s">
        <v>128</v>
      </c>
      <c r="E885" s="32" t="s">
        <v>2186</v>
      </c>
      <c r="F885" s="32" t="s">
        <v>29</v>
      </c>
      <c r="G885" s="38" t="s">
        <v>29</v>
      </c>
      <c r="H885" s="32" t="s">
        <v>115</v>
      </c>
      <c r="I885" s="32" t="s">
        <v>243</v>
      </c>
      <c r="J885" s="32" t="s">
        <v>1417</v>
      </c>
      <c r="K885" s="32" t="s">
        <v>1513</v>
      </c>
      <c r="L885" s="32" t="s">
        <v>30</v>
      </c>
      <c r="M885" s="32" t="s">
        <v>30</v>
      </c>
      <c r="N885" s="40">
        <v>2013</v>
      </c>
      <c r="O885" s="32">
        <f>VLOOKUP(Data!N657, CPI!$A$2:$B$112, 2, 0)</f>
        <v>107.6</v>
      </c>
      <c r="P885" s="32" t="s">
        <v>56</v>
      </c>
      <c r="Q885" s="32" t="s">
        <v>239</v>
      </c>
      <c r="R885" s="32" t="s">
        <v>2541</v>
      </c>
      <c r="S885" s="32">
        <v>7.1</v>
      </c>
      <c r="T885" s="32" t="s">
        <v>316</v>
      </c>
      <c r="U885" s="32">
        <v>7.1</v>
      </c>
      <c r="V885" s="32" t="s">
        <v>316</v>
      </c>
      <c r="X885" s="32">
        <f t="shared" si="53"/>
        <v>7.1</v>
      </c>
      <c r="Y885" s="32">
        <f>(CPI!$B$112/O885)*X885</f>
        <v>20.104134990706321</v>
      </c>
      <c r="Z885" s="38" t="s">
        <v>262</v>
      </c>
      <c r="AA885" s="35" t="s">
        <v>1425</v>
      </c>
      <c r="AB885" s="32">
        <v>98</v>
      </c>
      <c r="AC885" s="32" t="s">
        <v>1425</v>
      </c>
      <c r="AH885" s="32" t="s">
        <v>411</v>
      </c>
      <c r="AK885" s="40" t="s">
        <v>1426</v>
      </c>
      <c r="AL885" s="32">
        <v>2018</v>
      </c>
      <c r="AM885" s="32" t="s">
        <v>1427</v>
      </c>
      <c r="AN885" s="32" t="s">
        <v>1428</v>
      </c>
      <c r="AO885" s="38" t="s">
        <v>1429</v>
      </c>
      <c r="AP885" s="35" t="s">
        <v>396</v>
      </c>
    </row>
    <row r="886" spans="1:42" x14ac:dyDescent="0.2">
      <c r="A886" s="40">
        <v>88</v>
      </c>
      <c r="B886" s="40">
        <v>885</v>
      </c>
      <c r="C886" s="40" t="s">
        <v>119</v>
      </c>
      <c r="D886" s="38" t="s">
        <v>128</v>
      </c>
      <c r="E886" s="32" t="s">
        <v>2186</v>
      </c>
      <c r="F886" s="32" t="s">
        <v>29</v>
      </c>
      <c r="G886" s="38" t="s">
        <v>29</v>
      </c>
      <c r="H886" s="32" t="s">
        <v>115</v>
      </c>
      <c r="I886" s="32" t="s">
        <v>243</v>
      </c>
      <c r="J886" s="32" t="s">
        <v>1418</v>
      </c>
      <c r="K886" s="32" t="s">
        <v>1513</v>
      </c>
      <c r="L886" s="32" t="s">
        <v>30</v>
      </c>
      <c r="M886" s="32" t="s">
        <v>30</v>
      </c>
      <c r="N886" s="40">
        <v>2013</v>
      </c>
      <c r="O886" s="32">
        <f>VLOOKUP(Data!N658, CPI!$A$2:$B$112, 2, 0)</f>
        <v>107.6</v>
      </c>
      <c r="P886" s="32" t="s">
        <v>56</v>
      </c>
      <c r="Q886" s="32" t="s">
        <v>239</v>
      </c>
      <c r="R886" s="32" t="s">
        <v>2541</v>
      </c>
      <c r="S886" s="32">
        <v>7.1</v>
      </c>
      <c r="T886" s="32" t="s">
        <v>316</v>
      </c>
      <c r="U886" s="32">
        <v>7.1</v>
      </c>
      <c r="V886" s="32" t="s">
        <v>316</v>
      </c>
      <c r="X886" s="32">
        <f t="shared" si="53"/>
        <v>7.1</v>
      </c>
      <c r="Y886" s="32">
        <f>(CPI!$B$112/O886)*X886</f>
        <v>20.104134990706321</v>
      </c>
      <c r="Z886" s="38" t="s">
        <v>262</v>
      </c>
      <c r="AA886" s="35" t="s">
        <v>1425</v>
      </c>
      <c r="AB886" s="32">
        <v>370</v>
      </c>
      <c r="AC886" s="32" t="s">
        <v>1425</v>
      </c>
      <c r="AH886" s="32" t="s">
        <v>411</v>
      </c>
      <c r="AK886" s="40" t="s">
        <v>1426</v>
      </c>
      <c r="AL886" s="32">
        <v>2018</v>
      </c>
      <c r="AM886" s="32" t="s">
        <v>1427</v>
      </c>
      <c r="AN886" s="32" t="s">
        <v>1428</v>
      </c>
      <c r="AO886" s="38" t="s">
        <v>1429</v>
      </c>
      <c r="AP886" s="35" t="s">
        <v>396</v>
      </c>
    </row>
    <row r="887" spans="1:42" x14ac:dyDescent="0.2">
      <c r="A887" s="40">
        <v>88</v>
      </c>
      <c r="B887" s="40">
        <v>886</v>
      </c>
      <c r="C887" s="40" t="s">
        <v>119</v>
      </c>
      <c r="D887" s="38" t="s">
        <v>128</v>
      </c>
      <c r="E887" s="32" t="s">
        <v>2186</v>
      </c>
      <c r="F887" s="32" t="s">
        <v>29</v>
      </c>
      <c r="G887" s="38" t="s">
        <v>29</v>
      </c>
      <c r="H887" s="32" t="s">
        <v>115</v>
      </c>
      <c r="I887" s="32" t="s">
        <v>243</v>
      </c>
      <c r="J887" s="32" t="s">
        <v>1419</v>
      </c>
      <c r="K887" s="32" t="s">
        <v>1513</v>
      </c>
      <c r="L887" s="32" t="s">
        <v>30</v>
      </c>
      <c r="M887" s="32" t="s">
        <v>30</v>
      </c>
      <c r="N887" s="40">
        <v>2013</v>
      </c>
      <c r="O887" s="32">
        <f>VLOOKUP(Data!N659, CPI!$A$2:$B$112, 2, 0)</f>
        <v>107.6</v>
      </c>
      <c r="P887" s="32" t="s">
        <v>56</v>
      </c>
      <c r="Q887" s="32" t="s">
        <v>239</v>
      </c>
      <c r="R887" s="32" t="s">
        <v>2541</v>
      </c>
      <c r="S887" s="32">
        <v>7.1</v>
      </c>
      <c r="T887" s="32" t="s">
        <v>316</v>
      </c>
      <c r="U887" s="32">
        <v>7.1</v>
      </c>
      <c r="V887" s="32" t="s">
        <v>316</v>
      </c>
      <c r="X887" s="32">
        <f t="shared" si="53"/>
        <v>7.1</v>
      </c>
      <c r="Y887" s="32">
        <f>(CPI!$B$112/O887)*X887</f>
        <v>20.104134990706321</v>
      </c>
      <c r="Z887" s="38" t="s">
        <v>262</v>
      </c>
      <c r="AA887" s="35" t="s">
        <v>1425</v>
      </c>
      <c r="AB887" s="32">
        <v>118</v>
      </c>
      <c r="AC887" s="32" t="s">
        <v>1425</v>
      </c>
      <c r="AH887" s="32" t="s">
        <v>411</v>
      </c>
      <c r="AK887" s="40" t="s">
        <v>1426</v>
      </c>
      <c r="AL887" s="32">
        <v>2018</v>
      </c>
      <c r="AM887" s="32" t="s">
        <v>1427</v>
      </c>
      <c r="AN887" s="32" t="s">
        <v>1428</v>
      </c>
      <c r="AO887" s="38" t="s">
        <v>1429</v>
      </c>
      <c r="AP887" s="35" t="s">
        <v>396</v>
      </c>
    </row>
    <row r="888" spans="1:42" x14ac:dyDescent="0.2">
      <c r="A888" s="40">
        <v>88</v>
      </c>
      <c r="B888" s="40">
        <v>887</v>
      </c>
      <c r="C888" s="40" t="s">
        <v>119</v>
      </c>
      <c r="D888" s="38" t="s">
        <v>128</v>
      </c>
      <c r="E888" s="32" t="s">
        <v>2186</v>
      </c>
      <c r="F888" s="32" t="s">
        <v>29</v>
      </c>
      <c r="G888" s="38" t="s">
        <v>29</v>
      </c>
      <c r="H888" s="32" t="s">
        <v>115</v>
      </c>
      <c r="I888" s="32" t="s">
        <v>243</v>
      </c>
      <c r="J888" s="32" t="s">
        <v>1420</v>
      </c>
      <c r="K888" s="32" t="s">
        <v>1513</v>
      </c>
      <c r="L888" s="32" t="s">
        <v>30</v>
      </c>
      <c r="M888" s="32" t="s">
        <v>30</v>
      </c>
      <c r="N888" s="40">
        <v>2013</v>
      </c>
      <c r="O888" s="32">
        <f>VLOOKUP(Data!N660, CPI!$A$2:$B$112, 2, 0)</f>
        <v>107.6</v>
      </c>
      <c r="P888" s="32" t="s">
        <v>56</v>
      </c>
      <c r="Q888" s="32" t="s">
        <v>239</v>
      </c>
      <c r="R888" s="32" t="s">
        <v>2541</v>
      </c>
      <c r="S888" s="32">
        <v>7.1</v>
      </c>
      <c r="T888" s="32" t="s">
        <v>316</v>
      </c>
      <c r="U888" s="32">
        <v>7.1</v>
      </c>
      <c r="V888" s="32" t="s">
        <v>316</v>
      </c>
      <c r="X888" s="32">
        <f t="shared" si="53"/>
        <v>7.1</v>
      </c>
      <c r="Y888" s="32">
        <f>(CPI!$B$112/O888)*X888</f>
        <v>20.104134990706321</v>
      </c>
      <c r="Z888" s="38" t="s">
        <v>262</v>
      </c>
      <c r="AA888" s="35" t="s">
        <v>1425</v>
      </c>
      <c r="AB888" s="32">
        <v>123</v>
      </c>
      <c r="AC888" s="32" t="s">
        <v>1425</v>
      </c>
      <c r="AH888" s="32" t="s">
        <v>411</v>
      </c>
      <c r="AK888" s="40" t="s">
        <v>1426</v>
      </c>
      <c r="AL888" s="32">
        <v>2018</v>
      </c>
      <c r="AM888" s="32" t="s">
        <v>1427</v>
      </c>
      <c r="AN888" s="32" t="s">
        <v>1428</v>
      </c>
      <c r="AO888" s="38" t="s">
        <v>1429</v>
      </c>
      <c r="AP888" s="35" t="s">
        <v>396</v>
      </c>
    </row>
    <row r="889" spans="1:42" x14ac:dyDescent="0.2">
      <c r="A889" s="40">
        <v>88</v>
      </c>
      <c r="B889" s="40">
        <v>888</v>
      </c>
      <c r="C889" s="40" t="s">
        <v>119</v>
      </c>
      <c r="D889" s="38" t="s">
        <v>128</v>
      </c>
      <c r="E889" s="32" t="s">
        <v>2186</v>
      </c>
      <c r="F889" s="32" t="s">
        <v>29</v>
      </c>
      <c r="G889" s="38" t="s">
        <v>29</v>
      </c>
      <c r="H889" s="32" t="s">
        <v>115</v>
      </c>
      <c r="I889" s="32" t="s">
        <v>243</v>
      </c>
      <c r="J889" s="32" t="s">
        <v>1421</v>
      </c>
      <c r="K889" s="32" t="s">
        <v>1513</v>
      </c>
      <c r="L889" s="32" t="s">
        <v>30</v>
      </c>
      <c r="M889" s="32" t="s">
        <v>30</v>
      </c>
      <c r="N889" s="40">
        <v>2013</v>
      </c>
      <c r="O889" s="32">
        <f>VLOOKUP(Data!N661, CPI!$A$2:$B$112, 2, 0)</f>
        <v>107.6</v>
      </c>
      <c r="P889" s="32" t="s">
        <v>56</v>
      </c>
      <c r="Q889" s="32" t="s">
        <v>239</v>
      </c>
      <c r="R889" s="32" t="s">
        <v>2541</v>
      </c>
      <c r="S889" s="32">
        <v>7.1</v>
      </c>
      <c r="T889" s="32" t="s">
        <v>316</v>
      </c>
      <c r="U889" s="32">
        <v>7.1</v>
      </c>
      <c r="V889" s="32" t="s">
        <v>316</v>
      </c>
      <c r="X889" s="32">
        <f t="shared" si="53"/>
        <v>7.1</v>
      </c>
      <c r="Y889" s="32">
        <f>(CPI!$B$112/O889)*X889</f>
        <v>20.104134990706321</v>
      </c>
      <c r="Z889" s="38" t="s">
        <v>262</v>
      </c>
      <c r="AA889" s="35" t="s">
        <v>1425</v>
      </c>
      <c r="AB889" s="32">
        <v>185</v>
      </c>
      <c r="AC889" s="32" t="s">
        <v>1425</v>
      </c>
      <c r="AH889" s="32" t="s">
        <v>411</v>
      </c>
      <c r="AK889" s="40" t="s">
        <v>1426</v>
      </c>
      <c r="AL889" s="32">
        <v>2018</v>
      </c>
      <c r="AM889" s="32" t="s">
        <v>1427</v>
      </c>
      <c r="AN889" s="32" t="s">
        <v>1428</v>
      </c>
      <c r="AO889" s="38" t="s">
        <v>1429</v>
      </c>
      <c r="AP889" s="35" t="s">
        <v>396</v>
      </c>
    </row>
    <row r="890" spans="1:42" x14ac:dyDescent="0.2">
      <c r="A890" s="40">
        <v>88</v>
      </c>
      <c r="B890" s="40">
        <v>889</v>
      </c>
      <c r="C890" s="40" t="s">
        <v>119</v>
      </c>
      <c r="D890" s="38" t="s">
        <v>128</v>
      </c>
      <c r="E890" s="32" t="s">
        <v>2186</v>
      </c>
      <c r="F890" s="32" t="s">
        <v>29</v>
      </c>
      <c r="G890" s="38" t="s">
        <v>29</v>
      </c>
      <c r="H890" s="32" t="s">
        <v>115</v>
      </c>
      <c r="I890" s="32" t="s">
        <v>243</v>
      </c>
      <c r="J890" s="32" t="s">
        <v>1422</v>
      </c>
      <c r="K890" s="32" t="s">
        <v>1513</v>
      </c>
      <c r="L890" s="32" t="s">
        <v>30</v>
      </c>
      <c r="M890" s="32" t="s">
        <v>30</v>
      </c>
      <c r="N890" s="40">
        <v>2013</v>
      </c>
      <c r="O890" s="32">
        <f>VLOOKUP(Data!N662, CPI!$A$2:$B$112, 2, 0)</f>
        <v>107.6</v>
      </c>
      <c r="P890" s="32" t="s">
        <v>56</v>
      </c>
      <c r="Q890" s="32" t="s">
        <v>239</v>
      </c>
      <c r="R890" s="32" t="s">
        <v>2541</v>
      </c>
      <c r="S890" s="32">
        <v>10</v>
      </c>
      <c r="T890" s="32" t="s">
        <v>316</v>
      </c>
      <c r="U890" s="32">
        <v>10</v>
      </c>
      <c r="V890" s="32" t="s">
        <v>316</v>
      </c>
      <c r="X890" s="32">
        <f t="shared" si="53"/>
        <v>10</v>
      </c>
      <c r="Y890" s="32">
        <f>(CPI!$B$112/O890)*X890</f>
        <v>28.31568308550186</v>
      </c>
      <c r="Z890" s="38" t="s">
        <v>262</v>
      </c>
      <c r="AA890" s="35" t="s">
        <v>1425</v>
      </c>
      <c r="AB890" s="32">
        <v>217</v>
      </c>
      <c r="AC890" s="32" t="s">
        <v>1425</v>
      </c>
      <c r="AH890" s="32" t="s">
        <v>411</v>
      </c>
      <c r="AK890" s="40" t="s">
        <v>1426</v>
      </c>
      <c r="AL890" s="32">
        <v>2018</v>
      </c>
      <c r="AM890" s="32" t="s">
        <v>1427</v>
      </c>
      <c r="AN890" s="32" t="s">
        <v>1428</v>
      </c>
      <c r="AO890" s="38" t="s">
        <v>1429</v>
      </c>
      <c r="AP890" s="35" t="s">
        <v>396</v>
      </c>
    </row>
    <row r="891" spans="1:42" x14ac:dyDescent="0.2">
      <c r="A891" s="40">
        <v>88</v>
      </c>
      <c r="B891" s="40">
        <v>890</v>
      </c>
      <c r="C891" s="40" t="s">
        <v>119</v>
      </c>
      <c r="D891" s="38" t="s">
        <v>128</v>
      </c>
      <c r="E891" s="32" t="s">
        <v>2186</v>
      </c>
      <c r="F891" s="32" t="s">
        <v>29</v>
      </c>
      <c r="G891" s="38" t="s">
        <v>29</v>
      </c>
      <c r="H891" s="32" t="s">
        <v>115</v>
      </c>
      <c r="I891" s="32" t="s">
        <v>243</v>
      </c>
      <c r="J891" s="32" t="s">
        <v>1423</v>
      </c>
      <c r="K891" s="32" t="s">
        <v>1513</v>
      </c>
      <c r="L891" s="32" t="s">
        <v>30</v>
      </c>
      <c r="M891" s="32" t="s">
        <v>30</v>
      </c>
      <c r="N891" s="40">
        <v>2013</v>
      </c>
      <c r="O891" s="32">
        <f>VLOOKUP(Data!N663, CPI!$A$2:$B$112, 2, 0)</f>
        <v>107.6</v>
      </c>
      <c r="P891" s="32" t="s">
        <v>56</v>
      </c>
      <c r="Q891" s="32" t="s">
        <v>239</v>
      </c>
      <c r="R891" s="32" t="s">
        <v>2541</v>
      </c>
      <c r="S891" s="32">
        <v>10</v>
      </c>
      <c r="T891" s="32" t="s">
        <v>316</v>
      </c>
      <c r="U891" s="32">
        <v>10</v>
      </c>
      <c r="V891" s="32" t="s">
        <v>316</v>
      </c>
      <c r="X891" s="32">
        <f t="shared" si="53"/>
        <v>10</v>
      </c>
      <c r="Y891" s="32">
        <f>(CPI!$B$112/O891)*X891</f>
        <v>28.31568308550186</v>
      </c>
      <c r="Z891" s="38" t="s">
        <v>262</v>
      </c>
      <c r="AA891" s="35" t="s">
        <v>1425</v>
      </c>
      <c r="AB891" s="32">
        <v>56</v>
      </c>
      <c r="AC891" s="32" t="s">
        <v>1425</v>
      </c>
      <c r="AH891" s="32" t="s">
        <v>411</v>
      </c>
      <c r="AK891" s="40" t="s">
        <v>1426</v>
      </c>
      <c r="AL891" s="32">
        <v>2018</v>
      </c>
      <c r="AM891" s="32" t="s">
        <v>1427</v>
      </c>
      <c r="AN891" s="32" t="s">
        <v>1428</v>
      </c>
      <c r="AO891" s="38" t="s">
        <v>1429</v>
      </c>
      <c r="AP891" s="35" t="s">
        <v>396</v>
      </c>
    </row>
    <row r="892" spans="1:42" x14ac:dyDescent="0.2">
      <c r="A892" s="40">
        <v>88</v>
      </c>
      <c r="B892" s="40">
        <v>891</v>
      </c>
      <c r="C892" s="40" t="s">
        <v>119</v>
      </c>
      <c r="D892" s="38" t="s">
        <v>128</v>
      </c>
      <c r="E892" s="32" t="s">
        <v>2186</v>
      </c>
      <c r="F892" s="32" t="s">
        <v>29</v>
      </c>
      <c r="G892" s="38" t="s">
        <v>29</v>
      </c>
      <c r="H892" s="32" t="s">
        <v>115</v>
      </c>
      <c r="I892" s="32" t="s">
        <v>243</v>
      </c>
      <c r="J892" s="32" t="s">
        <v>1424</v>
      </c>
      <c r="K892" s="32" t="s">
        <v>1513</v>
      </c>
      <c r="L892" s="32" t="s">
        <v>30</v>
      </c>
      <c r="M892" s="32" t="s">
        <v>30</v>
      </c>
      <c r="N892" s="40">
        <v>2013</v>
      </c>
      <c r="O892" s="32">
        <f>VLOOKUP(Data!N664, CPI!$A$2:$B$112, 2, 0)</f>
        <v>107.6</v>
      </c>
      <c r="P892" s="32" t="s">
        <v>56</v>
      </c>
      <c r="Q892" s="32" t="s">
        <v>239</v>
      </c>
      <c r="R892" s="32" t="s">
        <v>2541</v>
      </c>
      <c r="S892" s="32">
        <v>10</v>
      </c>
      <c r="T892" s="32" t="s">
        <v>316</v>
      </c>
      <c r="U892" s="32">
        <v>10</v>
      </c>
      <c r="V892" s="32" t="s">
        <v>316</v>
      </c>
      <c r="X892" s="32">
        <f t="shared" si="53"/>
        <v>10</v>
      </c>
      <c r="Y892" s="32">
        <f>(CPI!$B$112/O892)*X892</f>
        <v>28.31568308550186</v>
      </c>
      <c r="Z892" s="38" t="s">
        <v>262</v>
      </c>
      <c r="AA892" s="35" t="s">
        <v>1425</v>
      </c>
      <c r="AB892" s="32">
        <v>10</v>
      </c>
      <c r="AC892" s="32" t="s">
        <v>1425</v>
      </c>
      <c r="AH892" s="32" t="s">
        <v>411</v>
      </c>
      <c r="AK892" s="40" t="s">
        <v>1426</v>
      </c>
      <c r="AL892" s="32">
        <v>2018</v>
      </c>
      <c r="AM892" s="32" t="s">
        <v>1427</v>
      </c>
      <c r="AN892" s="32" t="s">
        <v>1428</v>
      </c>
      <c r="AO892" s="38" t="s">
        <v>1429</v>
      </c>
      <c r="AP892" s="35" t="s">
        <v>396</v>
      </c>
    </row>
    <row r="893" spans="1:42" x14ac:dyDescent="0.2">
      <c r="A893" s="40">
        <v>89</v>
      </c>
      <c r="B893" s="40">
        <v>892</v>
      </c>
      <c r="C893" s="40" t="s">
        <v>119</v>
      </c>
      <c r="D893" s="38" t="s">
        <v>128</v>
      </c>
      <c r="E893" s="32" t="s">
        <v>2186</v>
      </c>
      <c r="F893" s="32" t="s">
        <v>29</v>
      </c>
      <c r="G893" s="38" t="s">
        <v>29</v>
      </c>
      <c r="H893" s="32" t="s">
        <v>115</v>
      </c>
      <c r="I893" s="32" t="s">
        <v>139</v>
      </c>
      <c r="J893" s="32" t="s">
        <v>1430</v>
      </c>
      <c r="K893" s="32" t="s">
        <v>1513</v>
      </c>
      <c r="L893" s="32" t="s">
        <v>1431</v>
      </c>
      <c r="M893" s="32" t="s">
        <v>1432</v>
      </c>
      <c r="N893" s="40">
        <v>2001</v>
      </c>
      <c r="O893" s="32">
        <f>VLOOKUP(Data!N665, CPI!$A$2:$B$112, 2, 0)</f>
        <v>107.6</v>
      </c>
      <c r="P893" s="32" t="s">
        <v>132</v>
      </c>
      <c r="Q893" s="32" t="s">
        <v>134</v>
      </c>
      <c r="R893" s="32" t="s">
        <v>1453</v>
      </c>
      <c r="S893" s="32">
        <v>121630000</v>
      </c>
      <c r="T893" s="32" t="s">
        <v>300</v>
      </c>
      <c r="U893" s="32">
        <f t="shared" ref="U893:U936" si="54">S893/AB893</f>
        <v>3084.0813428672855</v>
      </c>
      <c r="V893" s="32" t="s">
        <v>316</v>
      </c>
      <c r="X893" s="32">
        <f t="shared" si="53"/>
        <v>3084.0813428672855</v>
      </c>
      <c r="Y893" s="32">
        <f>(CPI!$B$112/O893)*X893</f>
        <v>8732.786991453906</v>
      </c>
      <c r="Z893" s="38" t="s">
        <v>262</v>
      </c>
      <c r="AA893" s="35" t="s">
        <v>1445</v>
      </c>
      <c r="AB893" s="32">
        <v>39438</v>
      </c>
      <c r="AC893" s="32" t="s">
        <v>1425</v>
      </c>
      <c r="AH893" s="32" t="s">
        <v>411</v>
      </c>
      <c r="AK893" s="40" t="s">
        <v>1458</v>
      </c>
      <c r="AL893" s="32">
        <v>2016</v>
      </c>
      <c r="AM893" s="32" t="s">
        <v>1459</v>
      </c>
      <c r="AN893" s="32" t="s">
        <v>1460</v>
      </c>
      <c r="AO893" s="38" t="s">
        <v>1461</v>
      </c>
      <c r="AP893" s="35" t="s">
        <v>396</v>
      </c>
    </row>
    <row r="894" spans="1:42" x14ac:dyDescent="0.2">
      <c r="A894" s="40">
        <v>89</v>
      </c>
      <c r="B894" s="40">
        <v>893</v>
      </c>
      <c r="C894" s="40" t="s">
        <v>39</v>
      </c>
      <c r="D894" s="38" t="s">
        <v>38</v>
      </c>
      <c r="E894" s="32" t="s">
        <v>2186</v>
      </c>
      <c r="F894" s="32" t="s">
        <v>29</v>
      </c>
      <c r="G894" s="38" t="s">
        <v>29</v>
      </c>
      <c r="H894" s="32" t="s">
        <v>115</v>
      </c>
      <c r="I894" s="32" t="s">
        <v>139</v>
      </c>
      <c r="J894" s="32" t="s">
        <v>1430</v>
      </c>
      <c r="K894" s="32" t="s">
        <v>1513</v>
      </c>
      <c r="L894" s="32" t="s">
        <v>1431</v>
      </c>
      <c r="M894" s="32" t="s">
        <v>1432</v>
      </c>
      <c r="N894" s="40">
        <v>2001</v>
      </c>
      <c r="O894" s="32">
        <f>VLOOKUP(Data!N666, CPI!$A$2:$B$112, 2, 0)</f>
        <v>107.6</v>
      </c>
      <c r="P894" s="32" t="s">
        <v>132</v>
      </c>
      <c r="Q894" s="32" t="s">
        <v>134</v>
      </c>
      <c r="R894" s="32" t="s">
        <v>1454</v>
      </c>
      <c r="S894" s="32">
        <v>38590000</v>
      </c>
      <c r="T894" s="32" t="s">
        <v>300</v>
      </c>
      <c r="U894" s="32">
        <f t="shared" si="54"/>
        <v>978.49789543080283</v>
      </c>
      <c r="V894" s="32" t="s">
        <v>316</v>
      </c>
      <c r="X894" s="32">
        <f t="shared" si="53"/>
        <v>978.49789543080283</v>
      </c>
      <c r="Y894" s="32">
        <f>(CPI!$B$112/O894)*X894</f>
        <v>2770.6836306849154</v>
      </c>
      <c r="Z894" s="38" t="s">
        <v>262</v>
      </c>
      <c r="AA894" s="35" t="s">
        <v>1445</v>
      </c>
      <c r="AB894" s="32">
        <v>39438</v>
      </c>
      <c r="AC894" s="32" t="s">
        <v>1425</v>
      </c>
      <c r="AH894" s="32" t="s">
        <v>411</v>
      </c>
      <c r="AK894" s="40" t="s">
        <v>1458</v>
      </c>
      <c r="AL894" s="32">
        <v>2016</v>
      </c>
      <c r="AM894" s="32" t="s">
        <v>1459</v>
      </c>
      <c r="AN894" s="32" t="s">
        <v>1460</v>
      </c>
      <c r="AO894" s="38" t="s">
        <v>1461</v>
      </c>
      <c r="AP894" s="35" t="s">
        <v>396</v>
      </c>
    </row>
    <row r="895" spans="1:42" x14ac:dyDescent="0.2">
      <c r="A895" s="40">
        <v>89</v>
      </c>
      <c r="B895" s="40">
        <v>894</v>
      </c>
      <c r="C895" s="40" t="s">
        <v>249</v>
      </c>
      <c r="D895" s="38" t="s">
        <v>216</v>
      </c>
      <c r="E895" s="32" t="s">
        <v>2186</v>
      </c>
      <c r="F895" s="32" t="s">
        <v>29</v>
      </c>
      <c r="G895" s="38" t="s">
        <v>29</v>
      </c>
      <c r="H895" s="32" t="s">
        <v>115</v>
      </c>
      <c r="I895" s="32" t="s">
        <v>139</v>
      </c>
      <c r="J895" s="32" t="s">
        <v>1430</v>
      </c>
      <c r="K895" s="32" t="s">
        <v>1513</v>
      </c>
      <c r="L895" s="32" t="s">
        <v>1431</v>
      </c>
      <c r="M895" s="32" t="s">
        <v>1432</v>
      </c>
      <c r="N895" s="40">
        <v>2001</v>
      </c>
      <c r="O895" s="32">
        <f>VLOOKUP(Data!N667, CPI!$A$2:$B$112, 2, 0)</f>
        <v>107.6</v>
      </c>
      <c r="P895" s="32" t="s">
        <v>132</v>
      </c>
      <c r="Q895" s="32" t="s">
        <v>134</v>
      </c>
      <c r="R895" s="32" t="s">
        <v>1455</v>
      </c>
      <c r="S895" s="32">
        <v>45190000</v>
      </c>
      <c r="T895" s="32" t="s">
        <v>300</v>
      </c>
      <c r="U895" s="32">
        <f t="shared" si="54"/>
        <v>1145.849180992951</v>
      </c>
      <c r="V895" s="32" t="s">
        <v>316</v>
      </c>
      <c r="X895" s="32">
        <f t="shared" si="53"/>
        <v>1145.849180992951</v>
      </c>
      <c r="Y895" s="32">
        <f>(CPI!$B$112/O895)*X895</f>
        <v>3244.5502272778263</v>
      </c>
      <c r="Z895" s="38" t="s">
        <v>262</v>
      </c>
      <c r="AA895" s="35" t="s">
        <v>1445</v>
      </c>
      <c r="AB895" s="32">
        <v>39438</v>
      </c>
      <c r="AC895" s="32" t="s">
        <v>1425</v>
      </c>
      <c r="AH895" s="32" t="s">
        <v>411</v>
      </c>
      <c r="AK895" s="40" t="s">
        <v>1458</v>
      </c>
      <c r="AL895" s="32">
        <v>2016</v>
      </c>
      <c r="AM895" s="32" t="s">
        <v>1459</v>
      </c>
      <c r="AN895" s="32" t="s">
        <v>1460</v>
      </c>
      <c r="AO895" s="38" t="s">
        <v>1461</v>
      </c>
      <c r="AP895" s="35" t="s">
        <v>396</v>
      </c>
    </row>
    <row r="896" spans="1:42" x14ac:dyDescent="0.2">
      <c r="A896" s="40">
        <v>89</v>
      </c>
      <c r="B896" s="40">
        <v>895</v>
      </c>
      <c r="C896" s="40" t="s">
        <v>357</v>
      </c>
      <c r="D896" s="38" t="s">
        <v>130</v>
      </c>
      <c r="E896" s="32" t="s">
        <v>2186</v>
      </c>
      <c r="F896" s="32" t="s">
        <v>29</v>
      </c>
      <c r="G896" s="38" t="s">
        <v>29</v>
      </c>
      <c r="H896" s="32" t="s">
        <v>115</v>
      </c>
      <c r="I896" s="32" t="s">
        <v>139</v>
      </c>
      <c r="J896" s="32" t="s">
        <v>1430</v>
      </c>
      <c r="K896" s="32" t="s">
        <v>1513</v>
      </c>
      <c r="L896" s="32" t="s">
        <v>1431</v>
      </c>
      <c r="M896" s="32" t="s">
        <v>1432</v>
      </c>
      <c r="N896" s="40">
        <v>2001</v>
      </c>
      <c r="O896" s="32">
        <f>VLOOKUP(Data!N668, CPI!$A$2:$B$112, 2, 0)</f>
        <v>304.67675000000003</v>
      </c>
      <c r="P896" s="32" t="s">
        <v>132</v>
      </c>
      <c r="Q896" s="32" t="s">
        <v>134</v>
      </c>
      <c r="R896" s="32" t="s">
        <v>1456</v>
      </c>
      <c r="S896" s="32">
        <v>8620000</v>
      </c>
      <c r="T896" s="32" t="s">
        <v>300</v>
      </c>
      <c r="U896" s="32">
        <f t="shared" si="54"/>
        <v>218.5709214463208</v>
      </c>
      <c r="V896" s="32" t="s">
        <v>316</v>
      </c>
      <c r="X896" s="32">
        <f t="shared" si="53"/>
        <v>218.5709214463208</v>
      </c>
      <c r="Y896" s="32">
        <f>(CPI!$B$112/O896)*X896</f>
        <v>218.5709214463208</v>
      </c>
      <c r="Z896" s="38" t="s">
        <v>262</v>
      </c>
      <c r="AA896" s="35" t="s">
        <v>1445</v>
      </c>
      <c r="AB896" s="32">
        <v>39438</v>
      </c>
      <c r="AC896" s="32" t="s">
        <v>1425</v>
      </c>
      <c r="AH896" s="32" t="s">
        <v>411</v>
      </c>
      <c r="AK896" s="40" t="s">
        <v>1458</v>
      </c>
      <c r="AL896" s="32">
        <v>2016</v>
      </c>
      <c r="AM896" s="32" t="s">
        <v>1459</v>
      </c>
      <c r="AN896" s="32" t="s">
        <v>1460</v>
      </c>
      <c r="AO896" s="38" t="s">
        <v>1461</v>
      </c>
      <c r="AP896" s="35" t="s">
        <v>396</v>
      </c>
    </row>
    <row r="897" spans="1:42" x14ac:dyDescent="0.2">
      <c r="A897" s="40">
        <v>89</v>
      </c>
      <c r="B897" s="40">
        <v>896</v>
      </c>
      <c r="C897" s="40" t="s">
        <v>241</v>
      </c>
      <c r="D897" s="38" t="s">
        <v>240</v>
      </c>
      <c r="E897" s="32" t="s">
        <v>2186</v>
      </c>
      <c r="F897" s="32" t="s">
        <v>29</v>
      </c>
      <c r="G897" s="38" t="s">
        <v>29</v>
      </c>
      <c r="H897" s="32" t="s">
        <v>115</v>
      </c>
      <c r="I897" s="32" t="s">
        <v>139</v>
      </c>
      <c r="J897" s="32" t="s">
        <v>1430</v>
      </c>
      <c r="K897" s="32" t="s">
        <v>1513</v>
      </c>
      <c r="L897" s="32" t="s">
        <v>1431</v>
      </c>
      <c r="M897" s="32" t="s">
        <v>1432</v>
      </c>
      <c r="N897" s="40">
        <v>2001</v>
      </c>
      <c r="O897" s="32">
        <f>VLOOKUP(Data!N669, CPI!$A$2:$B$112, 2, 0)</f>
        <v>218.05600000000001</v>
      </c>
      <c r="P897" s="32" t="s">
        <v>132</v>
      </c>
      <c r="Q897" s="32" t="s">
        <v>134</v>
      </c>
      <c r="R897" s="32" t="s">
        <v>1457</v>
      </c>
      <c r="S897" s="32">
        <v>214020000</v>
      </c>
      <c r="T897" s="32" t="s">
        <v>300</v>
      </c>
      <c r="U897" s="32">
        <f t="shared" si="54"/>
        <v>5426.7457781834783</v>
      </c>
      <c r="V897" s="32" t="s">
        <v>316</v>
      </c>
      <c r="X897" s="32">
        <f t="shared" si="53"/>
        <v>5426.7457781834783</v>
      </c>
      <c r="Y897" s="32">
        <f>(CPI!$B$112/O897)*X897</f>
        <v>7582.4708642420437</v>
      </c>
      <c r="Z897" s="38" t="s">
        <v>262</v>
      </c>
      <c r="AA897" s="35" t="s">
        <v>1445</v>
      </c>
      <c r="AB897" s="32">
        <v>39438</v>
      </c>
      <c r="AC897" s="32" t="s">
        <v>1425</v>
      </c>
      <c r="AH897" s="32" t="s">
        <v>411</v>
      </c>
      <c r="AK897" s="40" t="s">
        <v>1458</v>
      </c>
      <c r="AL897" s="32">
        <v>2016</v>
      </c>
      <c r="AM897" s="32" t="s">
        <v>1459</v>
      </c>
      <c r="AN897" s="32" t="s">
        <v>1460</v>
      </c>
      <c r="AO897" s="38" t="s">
        <v>1461</v>
      </c>
      <c r="AP897" s="35" t="s">
        <v>396</v>
      </c>
    </row>
    <row r="898" spans="1:42" x14ac:dyDescent="0.2">
      <c r="A898" s="40">
        <v>89</v>
      </c>
      <c r="B898" s="40">
        <v>897</v>
      </c>
      <c r="C898" s="40" t="s">
        <v>241</v>
      </c>
      <c r="D898" s="38" t="s">
        <v>240</v>
      </c>
      <c r="E898" s="32" t="s">
        <v>2184</v>
      </c>
      <c r="F898" s="32" t="s">
        <v>131</v>
      </c>
      <c r="G898" s="38" t="s">
        <v>64</v>
      </c>
      <c r="H898" s="32" t="s">
        <v>115</v>
      </c>
      <c r="I898" s="32" t="s">
        <v>139</v>
      </c>
      <c r="J898" s="32" t="s">
        <v>1430</v>
      </c>
      <c r="K898" s="32" t="s">
        <v>1513</v>
      </c>
      <c r="L898" s="32" t="s">
        <v>1431</v>
      </c>
      <c r="M898" s="32" t="s">
        <v>1432</v>
      </c>
      <c r="N898" s="40">
        <v>2001</v>
      </c>
      <c r="O898" s="32">
        <f>VLOOKUP(Data!N670, CPI!$A$2:$B$112, 2, 0)</f>
        <v>218.05600000000001</v>
      </c>
      <c r="P898" s="32" t="s">
        <v>132</v>
      </c>
      <c r="Q898" s="32" t="s">
        <v>239</v>
      </c>
      <c r="R898" s="32" t="s">
        <v>64</v>
      </c>
      <c r="S898" s="32">
        <v>310000</v>
      </c>
      <c r="T898" s="32" t="s">
        <v>300</v>
      </c>
      <c r="U898" s="32">
        <f t="shared" si="54"/>
        <v>7.8604391703433238</v>
      </c>
      <c r="V898" s="32" t="s">
        <v>316</v>
      </c>
      <c r="X898" s="32">
        <f t="shared" si="53"/>
        <v>7.8604391703433238</v>
      </c>
      <c r="Y898" s="32">
        <f>(CPI!$B$112/O898)*X898</f>
        <v>10.982926679352554</v>
      </c>
      <c r="Z898" s="38" t="s">
        <v>262</v>
      </c>
      <c r="AA898" s="35" t="s">
        <v>1445</v>
      </c>
      <c r="AB898" s="32">
        <v>39438</v>
      </c>
      <c r="AC898" s="32" t="s">
        <v>1425</v>
      </c>
      <c r="AH898" s="32" t="s">
        <v>411</v>
      </c>
      <c r="AK898" s="40" t="s">
        <v>1458</v>
      </c>
      <c r="AL898" s="32">
        <v>2016</v>
      </c>
      <c r="AM898" s="32" t="s">
        <v>1459</v>
      </c>
      <c r="AN898" s="32" t="s">
        <v>1460</v>
      </c>
      <c r="AO898" s="38" t="s">
        <v>1461</v>
      </c>
      <c r="AP898" s="35" t="s">
        <v>396</v>
      </c>
    </row>
    <row r="899" spans="1:42" x14ac:dyDescent="0.2">
      <c r="A899" s="40">
        <v>89</v>
      </c>
      <c r="B899" s="40">
        <v>898</v>
      </c>
      <c r="C899" s="40" t="s">
        <v>241</v>
      </c>
      <c r="D899" s="38" t="s">
        <v>240</v>
      </c>
      <c r="E899" s="32" t="s">
        <v>2184</v>
      </c>
      <c r="F899" s="32" t="s">
        <v>131</v>
      </c>
      <c r="G899" s="38" t="s">
        <v>2920</v>
      </c>
      <c r="H899" s="32" t="s">
        <v>115</v>
      </c>
      <c r="I899" s="32" t="s">
        <v>139</v>
      </c>
      <c r="J899" s="32" t="s">
        <v>1430</v>
      </c>
      <c r="K899" s="32" t="s">
        <v>1513</v>
      </c>
      <c r="L899" s="32" t="s">
        <v>1431</v>
      </c>
      <c r="M899" s="32" t="s">
        <v>1432</v>
      </c>
      <c r="N899" s="40">
        <v>2001</v>
      </c>
      <c r="O899" s="32">
        <f>VLOOKUP(Data!N671, CPI!$A$2:$B$112, 2, 0)</f>
        <v>218.05600000000001</v>
      </c>
      <c r="P899" s="32" t="s">
        <v>132</v>
      </c>
      <c r="Q899" s="32" t="s">
        <v>239</v>
      </c>
      <c r="R899" s="32" t="s">
        <v>1433</v>
      </c>
      <c r="S899" s="32">
        <v>38790000</v>
      </c>
      <c r="T899" s="32" t="s">
        <v>300</v>
      </c>
      <c r="U899" s="32">
        <f t="shared" si="54"/>
        <v>983.56914650844362</v>
      </c>
      <c r="V899" s="32" t="s">
        <v>316</v>
      </c>
      <c r="X899" s="32">
        <f t="shared" si="53"/>
        <v>983.56914650844362</v>
      </c>
      <c r="Y899" s="32">
        <f>(CPI!$B$112/O899)*X899</f>
        <v>1374.282986748663</v>
      </c>
      <c r="Z899" s="38" t="s">
        <v>262</v>
      </c>
      <c r="AA899" s="35" t="s">
        <v>1445</v>
      </c>
      <c r="AB899" s="32">
        <v>39438</v>
      </c>
      <c r="AC899" s="32" t="s">
        <v>1425</v>
      </c>
      <c r="AH899" s="32" t="s">
        <v>411</v>
      </c>
      <c r="AK899" s="40" t="s">
        <v>1458</v>
      </c>
      <c r="AL899" s="32">
        <v>2016</v>
      </c>
      <c r="AM899" s="32" t="s">
        <v>1459</v>
      </c>
      <c r="AN899" s="32" t="s">
        <v>1460</v>
      </c>
      <c r="AO899" s="38" t="s">
        <v>1461</v>
      </c>
      <c r="AP899" s="35" t="s">
        <v>396</v>
      </c>
    </row>
    <row r="900" spans="1:42" x14ac:dyDescent="0.2">
      <c r="A900" s="40">
        <v>89</v>
      </c>
      <c r="B900" s="40">
        <v>899</v>
      </c>
      <c r="C900" s="40" t="s">
        <v>241</v>
      </c>
      <c r="D900" s="38" t="s">
        <v>240</v>
      </c>
      <c r="E900" s="32" t="s">
        <v>2186</v>
      </c>
      <c r="F900" s="32" t="s">
        <v>21</v>
      </c>
      <c r="G900" s="38" t="s">
        <v>163</v>
      </c>
      <c r="H900" s="32" t="s">
        <v>115</v>
      </c>
      <c r="I900" s="32" t="s">
        <v>139</v>
      </c>
      <c r="J900" s="32" t="s">
        <v>1430</v>
      </c>
      <c r="K900" s="32" t="s">
        <v>1513</v>
      </c>
      <c r="L900" s="32" t="s">
        <v>1431</v>
      </c>
      <c r="M900" s="32" t="s">
        <v>1432</v>
      </c>
      <c r="N900" s="40">
        <v>2001</v>
      </c>
      <c r="O900" s="32">
        <f>VLOOKUP(Data!N672, CPI!$A$2:$B$112, 2, 0)</f>
        <v>218.05600000000001</v>
      </c>
      <c r="P900" s="32" t="s">
        <v>132</v>
      </c>
      <c r="Q900" s="32" t="s">
        <v>239</v>
      </c>
      <c r="R900" s="32" t="s">
        <v>1434</v>
      </c>
      <c r="S900" s="32">
        <v>1150000</v>
      </c>
      <c r="T900" s="32" t="s">
        <v>300</v>
      </c>
      <c r="U900" s="32">
        <f t="shared" si="54"/>
        <v>29.15969369643491</v>
      </c>
      <c r="V900" s="32" t="s">
        <v>316</v>
      </c>
      <c r="X900" s="32">
        <f t="shared" si="53"/>
        <v>29.15969369643491</v>
      </c>
      <c r="Y900" s="32">
        <f>(CPI!$B$112/O900)*X900</f>
        <v>40.743115100823985</v>
      </c>
      <c r="Z900" s="38" t="s">
        <v>262</v>
      </c>
      <c r="AA900" s="35" t="s">
        <v>1445</v>
      </c>
      <c r="AB900" s="32">
        <v>39438</v>
      </c>
      <c r="AC900" s="32" t="s">
        <v>1425</v>
      </c>
      <c r="AH900" s="32" t="s">
        <v>411</v>
      </c>
      <c r="AK900" s="40" t="s">
        <v>1458</v>
      </c>
      <c r="AL900" s="32">
        <v>2016</v>
      </c>
      <c r="AM900" s="32" t="s">
        <v>1459</v>
      </c>
      <c r="AN900" s="32" t="s">
        <v>1460</v>
      </c>
      <c r="AO900" s="38" t="s">
        <v>1461</v>
      </c>
      <c r="AP900" s="35" t="s">
        <v>396</v>
      </c>
    </row>
    <row r="901" spans="1:42" x14ac:dyDescent="0.2">
      <c r="A901" s="40">
        <v>89</v>
      </c>
      <c r="B901" s="40">
        <v>900</v>
      </c>
      <c r="C901" s="40" t="s">
        <v>241</v>
      </c>
      <c r="D901" s="38" t="s">
        <v>240</v>
      </c>
      <c r="E901" s="32" t="s">
        <v>2183</v>
      </c>
      <c r="F901" s="32" t="s">
        <v>244</v>
      </c>
      <c r="G901" s="38" t="s">
        <v>1102</v>
      </c>
      <c r="H901" s="32" t="s">
        <v>115</v>
      </c>
      <c r="I901" s="32" t="s">
        <v>139</v>
      </c>
      <c r="J901" s="32" t="s">
        <v>1430</v>
      </c>
      <c r="K901" s="32" t="s">
        <v>1513</v>
      </c>
      <c r="L901" s="32" t="s">
        <v>1431</v>
      </c>
      <c r="M901" s="32" t="s">
        <v>1432</v>
      </c>
      <c r="N901" s="40">
        <v>2001</v>
      </c>
      <c r="O901" s="32">
        <f>VLOOKUP(Data!N673, CPI!$A$2:$B$112, 2, 0)</f>
        <v>218.05600000000001</v>
      </c>
      <c r="P901" s="32" t="s">
        <v>132</v>
      </c>
      <c r="Q901" s="32" t="s">
        <v>239</v>
      </c>
      <c r="R901" s="32" t="s">
        <v>1435</v>
      </c>
      <c r="S901" s="32">
        <v>4930000</v>
      </c>
      <c r="T901" s="32" t="s">
        <v>300</v>
      </c>
      <c r="U901" s="32">
        <f t="shared" si="54"/>
        <v>125.00633906384705</v>
      </c>
      <c r="V901" s="32" t="s">
        <v>316</v>
      </c>
      <c r="X901" s="32">
        <f t="shared" si="53"/>
        <v>125.00633906384705</v>
      </c>
      <c r="Y901" s="32">
        <f>(CPI!$B$112/O901)*X901</f>
        <v>174.66396299744545</v>
      </c>
      <c r="Z901" s="38" t="s">
        <v>262</v>
      </c>
      <c r="AA901" s="35" t="s">
        <v>1445</v>
      </c>
      <c r="AB901" s="32">
        <v>39438</v>
      </c>
      <c r="AC901" s="32" t="s">
        <v>1425</v>
      </c>
      <c r="AH901" s="32" t="s">
        <v>411</v>
      </c>
      <c r="AK901" s="40" t="s">
        <v>1458</v>
      </c>
      <c r="AL901" s="32">
        <v>2016</v>
      </c>
      <c r="AM901" s="32" t="s">
        <v>1459</v>
      </c>
      <c r="AN901" s="32" t="s">
        <v>1460</v>
      </c>
      <c r="AO901" s="38" t="s">
        <v>1461</v>
      </c>
      <c r="AP901" s="35" t="s">
        <v>396</v>
      </c>
    </row>
    <row r="902" spans="1:42" x14ac:dyDescent="0.2">
      <c r="A902" s="40">
        <v>89</v>
      </c>
      <c r="B902" s="40">
        <v>901</v>
      </c>
      <c r="C902" s="40" t="s">
        <v>241</v>
      </c>
      <c r="D902" s="38" t="s">
        <v>240</v>
      </c>
      <c r="E902" s="32" t="s">
        <v>2183</v>
      </c>
      <c r="F902" s="32" t="s">
        <v>244</v>
      </c>
      <c r="G902" s="38" t="s">
        <v>2908</v>
      </c>
      <c r="H902" s="32" t="s">
        <v>115</v>
      </c>
      <c r="I902" s="32" t="s">
        <v>139</v>
      </c>
      <c r="J902" s="32" t="s">
        <v>1430</v>
      </c>
      <c r="K902" s="32" t="s">
        <v>1513</v>
      </c>
      <c r="L902" s="32" t="s">
        <v>1431</v>
      </c>
      <c r="M902" s="32" t="s">
        <v>1432</v>
      </c>
      <c r="N902" s="40">
        <v>2001</v>
      </c>
      <c r="O902" s="32">
        <f>VLOOKUP(Data!N674, CPI!$A$2:$B$112, 2, 0)</f>
        <v>218.05600000000001</v>
      </c>
      <c r="P902" s="32" t="s">
        <v>132</v>
      </c>
      <c r="Q902" s="32" t="s">
        <v>239</v>
      </c>
      <c r="R902" s="32" t="s">
        <v>1101</v>
      </c>
      <c r="S902" s="32">
        <v>5730000</v>
      </c>
      <c r="T902" s="32" t="s">
        <v>300</v>
      </c>
      <c r="U902" s="32">
        <f t="shared" si="54"/>
        <v>145.29134337441047</v>
      </c>
      <c r="V902" s="32" t="s">
        <v>316</v>
      </c>
      <c r="X902" s="32">
        <f t="shared" si="53"/>
        <v>145.29134337441047</v>
      </c>
      <c r="Y902" s="32">
        <f>(CPI!$B$112/O902)*X902</f>
        <v>203.00699958932302</v>
      </c>
      <c r="Z902" s="38" t="s">
        <v>262</v>
      </c>
      <c r="AA902" s="35" t="s">
        <v>1445</v>
      </c>
      <c r="AB902" s="32">
        <v>39438</v>
      </c>
      <c r="AC902" s="32" t="s">
        <v>1425</v>
      </c>
      <c r="AH902" s="32" t="s">
        <v>411</v>
      </c>
      <c r="AK902" s="40" t="s">
        <v>1458</v>
      </c>
      <c r="AL902" s="32">
        <v>2016</v>
      </c>
      <c r="AM902" s="32" t="s">
        <v>1459</v>
      </c>
      <c r="AN902" s="32" t="s">
        <v>1460</v>
      </c>
      <c r="AO902" s="38" t="s">
        <v>1461</v>
      </c>
      <c r="AP902" s="35" t="s">
        <v>396</v>
      </c>
    </row>
    <row r="903" spans="1:42" x14ac:dyDescent="0.2">
      <c r="A903" s="40">
        <v>89</v>
      </c>
      <c r="B903" s="40">
        <v>902</v>
      </c>
      <c r="C903" s="40" t="s">
        <v>241</v>
      </c>
      <c r="D903" s="38" t="s">
        <v>240</v>
      </c>
      <c r="E903" s="32" t="s">
        <v>2184</v>
      </c>
      <c r="F903" s="32" t="s">
        <v>145</v>
      </c>
      <c r="G903" s="38" t="s">
        <v>146</v>
      </c>
      <c r="H903" s="32" t="s">
        <v>115</v>
      </c>
      <c r="I903" s="32" t="s">
        <v>139</v>
      </c>
      <c r="J903" s="32" t="s">
        <v>1430</v>
      </c>
      <c r="K903" s="32" t="s">
        <v>1513</v>
      </c>
      <c r="L903" s="32" t="s">
        <v>1431</v>
      </c>
      <c r="M903" s="32" t="s">
        <v>1432</v>
      </c>
      <c r="N903" s="40">
        <v>2001</v>
      </c>
      <c r="O903" s="32">
        <f>VLOOKUP(Data!N675, CPI!$A$2:$B$112, 2, 0)</f>
        <v>218.05600000000001</v>
      </c>
      <c r="P903" s="32" t="s">
        <v>132</v>
      </c>
      <c r="Q903" s="32" t="s">
        <v>239</v>
      </c>
      <c r="R903" s="32" t="s">
        <v>1436</v>
      </c>
      <c r="S903" s="32">
        <v>7070000</v>
      </c>
      <c r="T903" s="32" t="s">
        <v>300</v>
      </c>
      <c r="U903" s="32">
        <f t="shared" si="54"/>
        <v>179.26872559460418</v>
      </c>
      <c r="V903" s="32" t="s">
        <v>316</v>
      </c>
      <c r="X903" s="32">
        <f t="shared" si="53"/>
        <v>179.26872559460418</v>
      </c>
      <c r="Y903" s="32">
        <f>(CPI!$B$112/O903)*X903</f>
        <v>250.48158588071789</v>
      </c>
      <c r="Z903" s="38" t="s">
        <v>262</v>
      </c>
      <c r="AA903" s="35" t="s">
        <v>1445</v>
      </c>
      <c r="AB903" s="32">
        <v>39438</v>
      </c>
      <c r="AC903" s="32" t="s">
        <v>1425</v>
      </c>
      <c r="AH903" s="32" t="s">
        <v>411</v>
      </c>
      <c r="AK903" s="40" t="s">
        <v>1458</v>
      </c>
      <c r="AL903" s="32">
        <v>2016</v>
      </c>
      <c r="AM903" s="32" t="s">
        <v>1459</v>
      </c>
      <c r="AN903" s="32" t="s">
        <v>1460</v>
      </c>
      <c r="AO903" s="38" t="s">
        <v>1461</v>
      </c>
      <c r="AP903" s="35" t="s">
        <v>396</v>
      </c>
    </row>
    <row r="904" spans="1:42" x14ac:dyDescent="0.2">
      <c r="A904" s="40">
        <v>89</v>
      </c>
      <c r="B904" s="40">
        <v>903</v>
      </c>
      <c r="C904" s="40" t="s">
        <v>241</v>
      </c>
      <c r="D904" s="38" t="s">
        <v>240</v>
      </c>
      <c r="E904" s="32" t="s">
        <v>2184</v>
      </c>
      <c r="F904" s="32" t="s">
        <v>43</v>
      </c>
      <c r="G904" s="38" t="s">
        <v>46</v>
      </c>
      <c r="H904" s="32" t="s">
        <v>115</v>
      </c>
      <c r="I904" s="32" t="s">
        <v>139</v>
      </c>
      <c r="J904" s="32" t="s">
        <v>1430</v>
      </c>
      <c r="K904" s="32" t="s">
        <v>1513</v>
      </c>
      <c r="L904" s="32" t="s">
        <v>1431</v>
      </c>
      <c r="M904" s="32" t="s">
        <v>1432</v>
      </c>
      <c r="N904" s="40">
        <v>2001</v>
      </c>
      <c r="O904" s="32">
        <f>VLOOKUP(Data!N676, CPI!$A$2:$B$112, 2, 0)</f>
        <v>218.05600000000001</v>
      </c>
      <c r="P904" s="32" t="s">
        <v>132</v>
      </c>
      <c r="Q904" s="32" t="s">
        <v>239</v>
      </c>
      <c r="R904" s="32" t="s">
        <v>1437</v>
      </c>
      <c r="S904" s="32">
        <v>3940000</v>
      </c>
      <c r="T904" s="32" t="s">
        <v>300</v>
      </c>
      <c r="U904" s="32">
        <f t="shared" si="54"/>
        <v>99.903646229524824</v>
      </c>
      <c r="V904" s="32" t="s">
        <v>316</v>
      </c>
      <c r="X904" s="32">
        <f t="shared" si="53"/>
        <v>99.903646229524824</v>
      </c>
      <c r="Y904" s="32">
        <f>(CPI!$B$112/O904)*X904</f>
        <v>139.58945521499697</v>
      </c>
      <c r="Z904" s="38" t="s">
        <v>262</v>
      </c>
      <c r="AA904" s="35" t="s">
        <v>1445</v>
      </c>
      <c r="AB904" s="32">
        <v>39438</v>
      </c>
      <c r="AC904" s="32" t="s">
        <v>1425</v>
      </c>
      <c r="AH904" s="32" t="s">
        <v>411</v>
      </c>
      <c r="AK904" s="40" t="s">
        <v>1458</v>
      </c>
      <c r="AL904" s="32">
        <v>2016</v>
      </c>
      <c r="AM904" s="32" t="s">
        <v>1459</v>
      </c>
      <c r="AN904" s="32" t="s">
        <v>1460</v>
      </c>
      <c r="AO904" s="38" t="s">
        <v>1461</v>
      </c>
      <c r="AP904" s="35" t="s">
        <v>396</v>
      </c>
    </row>
    <row r="905" spans="1:42" x14ac:dyDescent="0.2">
      <c r="A905" s="40">
        <v>89</v>
      </c>
      <c r="B905" s="40">
        <v>904</v>
      </c>
      <c r="C905" s="40" t="s">
        <v>241</v>
      </c>
      <c r="D905" s="38" t="s">
        <v>240</v>
      </c>
      <c r="E905" s="32" t="s">
        <v>2184</v>
      </c>
      <c r="F905" s="32" t="s">
        <v>43</v>
      </c>
      <c r="G905" s="38" t="s">
        <v>44</v>
      </c>
      <c r="H905" s="32" t="s">
        <v>115</v>
      </c>
      <c r="I905" s="32" t="s">
        <v>139</v>
      </c>
      <c r="J905" s="32" t="s">
        <v>1430</v>
      </c>
      <c r="K905" s="32" t="s">
        <v>1513</v>
      </c>
      <c r="L905" s="32" t="s">
        <v>1431</v>
      </c>
      <c r="M905" s="32" t="s">
        <v>1432</v>
      </c>
      <c r="N905" s="40">
        <v>2001</v>
      </c>
      <c r="O905" s="32">
        <f>VLOOKUP(Data!N677, CPI!$A$2:$B$112, 2, 0)</f>
        <v>218.05600000000001</v>
      </c>
      <c r="P905" s="32" t="s">
        <v>132</v>
      </c>
      <c r="Q905" s="32" t="s">
        <v>239</v>
      </c>
      <c r="R905" s="32" t="s">
        <v>44</v>
      </c>
      <c r="S905" s="32">
        <v>22090000</v>
      </c>
      <c r="T905" s="32" t="s">
        <v>300</v>
      </c>
      <c r="U905" s="32">
        <f t="shared" si="54"/>
        <v>560.11968152543227</v>
      </c>
      <c r="V905" s="32" t="s">
        <v>316</v>
      </c>
      <c r="X905" s="32">
        <f t="shared" si="53"/>
        <v>560.11968152543227</v>
      </c>
      <c r="Y905" s="32">
        <f>(CPI!$B$112/O905)*X905</f>
        <v>782.62209789321901</v>
      </c>
      <c r="Z905" s="38" t="s">
        <v>262</v>
      </c>
      <c r="AA905" s="35" t="s">
        <v>1445</v>
      </c>
      <c r="AB905" s="32">
        <v>39438</v>
      </c>
      <c r="AC905" s="32" t="s">
        <v>1425</v>
      </c>
      <c r="AH905" s="32" t="s">
        <v>411</v>
      </c>
      <c r="AK905" s="40" t="s">
        <v>1458</v>
      </c>
      <c r="AL905" s="32">
        <v>2016</v>
      </c>
      <c r="AM905" s="32" t="s">
        <v>1459</v>
      </c>
      <c r="AN905" s="32" t="s">
        <v>1460</v>
      </c>
      <c r="AO905" s="38" t="s">
        <v>1461</v>
      </c>
      <c r="AP905" s="35" t="s">
        <v>396</v>
      </c>
    </row>
    <row r="906" spans="1:42" x14ac:dyDescent="0.2">
      <c r="A906" s="40">
        <v>89</v>
      </c>
      <c r="B906" s="40">
        <v>905</v>
      </c>
      <c r="C906" s="40" t="s">
        <v>241</v>
      </c>
      <c r="D906" s="38" t="s">
        <v>240</v>
      </c>
      <c r="E906" s="32" t="s">
        <v>2184</v>
      </c>
      <c r="F906" s="32" t="s">
        <v>110</v>
      </c>
      <c r="G906" s="54" t="s">
        <v>2928</v>
      </c>
      <c r="H906" s="32" t="s">
        <v>115</v>
      </c>
      <c r="I906" s="32" t="s">
        <v>139</v>
      </c>
      <c r="J906" s="32" t="s">
        <v>1430</v>
      </c>
      <c r="K906" s="32" t="s">
        <v>1513</v>
      </c>
      <c r="L906" s="32" t="s">
        <v>1431</v>
      </c>
      <c r="M906" s="32" t="s">
        <v>1432</v>
      </c>
      <c r="N906" s="40">
        <v>2001</v>
      </c>
      <c r="O906" s="32">
        <f>VLOOKUP(Data!N678, CPI!$A$2:$B$112, 2, 0)</f>
        <v>218.05600000000001</v>
      </c>
      <c r="P906" s="32" t="s">
        <v>132</v>
      </c>
      <c r="Q906" s="32" t="s">
        <v>239</v>
      </c>
      <c r="R906" s="32" t="s">
        <v>1438</v>
      </c>
      <c r="S906" s="32">
        <v>6710000</v>
      </c>
      <c r="T906" s="32" t="s">
        <v>300</v>
      </c>
      <c r="U906" s="32">
        <f t="shared" si="54"/>
        <v>170.14047365485064</v>
      </c>
      <c r="V906" s="32" t="s">
        <v>316</v>
      </c>
      <c r="X906" s="32">
        <f t="shared" si="53"/>
        <v>170.14047365485064</v>
      </c>
      <c r="Y906" s="32">
        <f>(CPI!$B$112/O906)*X906</f>
        <v>237.727219414373</v>
      </c>
      <c r="Z906" s="38" t="s">
        <v>262</v>
      </c>
      <c r="AA906" s="35" t="s">
        <v>1445</v>
      </c>
      <c r="AB906" s="32">
        <v>39438</v>
      </c>
      <c r="AC906" s="32" t="s">
        <v>1425</v>
      </c>
      <c r="AH906" s="32" t="s">
        <v>411</v>
      </c>
      <c r="AK906" s="40" t="s">
        <v>1458</v>
      </c>
      <c r="AL906" s="32">
        <v>2016</v>
      </c>
      <c r="AM906" s="32" t="s">
        <v>1459</v>
      </c>
      <c r="AN906" s="32" t="s">
        <v>1460</v>
      </c>
      <c r="AO906" s="38" t="s">
        <v>1461</v>
      </c>
      <c r="AP906" s="35" t="s">
        <v>396</v>
      </c>
    </row>
    <row r="907" spans="1:42" x14ac:dyDescent="0.2">
      <c r="A907" s="40">
        <v>89</v>
      </c>
      <c r="B907" s="40">
        <v>906</v>
      </c>
      <c r="C907" s="40" t="s">
        <v>241</v>
      </c>
      <c r="D907" s="38" t="s">
        <v>240</v>
      </c>
      <c r="E907" s="32" t="s">
        <v>2186</v>
      </c>
      <c r="F907" s="32" t="s">
        <v>21</v>
      </c>
      <c r="G907" s="38" t="s">
        <v>163</v>
      </c>
      <c r="H907" s="32" t="s">
        <v>115</v>
      </c>
      <c r="I907" s="32" t="s">
        <v>139</v>
      </c>
      <c r="J907" s="32" t="s">
        <v>1430</v>
      </c>
      <c r="K907" s="32" t="s">
        <v>1513</v>
      </c>
      <c r="L907" s="32" t="s">
        <v>1431</v>
      </c>
      <c r="M907" s="32" t="s">
        <v>1432</v>
      </c>
      <c r="N907" s="40">
        <v>2001</v>
      </c>
      <c r="O907" s="32">
        <f>VLOOKUP(Data!N679, CPI!$A$2:$B$112, 2, 0)</f>
        <v>218.05600000000001</v>
      </c>
      <c r="P907" s="32" t="s">
        <v>132</v>
      </c>
      <c r="Q907" s="32" t="s">
        <v>239</v>
      </c>
      <c r="R907" s="32" t="s">
        <v>1439</v>
      </c>
      <c r="S907" s="32">
        <v>1040000</v>
      </c>
      <c r="T907" s="32" t="s">
        <v>300</v>
      </c>
      <c r="U907" s="32">
        <f t="shared" si="54"/>
        <v>26.37050560373244</v>
      </c>
      <c r="V907" s="32" t="s">
        <v>316</v>
      </c>
      <c r="X907" s="32">
        <f t="shared" si="53"/>
        <v>26.37050560373244</v>
      </c>
      <c r="Y907" s="32">
        <f>(CPI!$B$112/O907)*X907</f>
        <v>36.845947569440824</v>
      </c>
      <c r="Z907" s="38" t="s">
        <v>262</v>
      </c>
      <c r="AA907" s="35" t="s">
        <v>1445</v>
      </c>
      <c r="AB907" s="32">
        <v>39438</v>
      </c>
      <c r="AC907" s="32" t="s">
        <v>1425</v>
      </c>
      <c r="AH907" s="32" t="s">
        <v>411</v>
      </c>
      <c r="AK907" s="40" t="s">
        <v>1458</v>
      </c>
      <c r="AL907" s="32">
        <v>2016</v>
      </c>
      <c r="AM907" s="32" t="s">
        <v>1459</v>
      </c>
      <c r="AN907" s="32" t="s">
        <v>1460</v>
      </c>
      <c r="AO907" s="38" t="s">
        <v>1461</v>
      </c>
      <c r="AP907" s="35" t="s">
        <v>396</v>
      </c>
    </row>
    <row r="908" spans="1:42" x14ac:dyDescent="0.2">
      <c r="A908" s="40">
        <v>89</v>
      </c>
      <c r="B908" s="40">
        <v>907</v>
      </c>
      <c r="C908" s="40" t="s">
        <v>241</v>
      </c>
      <c r="D908" s="38" t="s">
        <v>240</v>
      </c>
      <c r="E908" s="32" t="s">
        <v>2184</v>
      </c>
      <c r="F908" s="32" t="s">
        <v>36</v>
      </c>
      <c r="G908" s="54" t="s">
        <v>2934</v>
      </c>
      <c r="H908" s="32" t="s">
        <v>115</v>
      </c>
      <c r="I908" s="32" t="s">
        <v>139</v>
      </c>
      <c r="J908" s="32" t="s">
        <v>1430</v>
      </c>
      <c r="K908" s="32" t="s">
        <v>1513</v>
      </c>
      <c r="L908" s="32" t="s">
        <v>1431</v>
      </c>
      <c r="M908" s="32" t="s">
        <v>1432</v>
      </c>
      <c r="N908" s="40">
        <v>2001</v>
      </c>
      <c r="O908" s="32">
        <f>VLOOKUP(Data!N680, CPI!$A$2:$B$112, 2, 0)</f>
        <v>218.05600000000001</v>
      </c>
      <c r="P908" s="32" t="s">
        <v>132</v>
      </c>
      <c r="Q908" s="32" t="s">
        <v>239</v>
      </c>
      <c r="R908" s="32" t="s">
        <v>1440</v>
      </c>
      <c r="S908" s="32">
        <v>750000</v>
      </c>
      <c r="T908" s="32" t="s">
        <v>300</v>
      </c>
      <c r="U908" s="32">
        <f t="shared" si="54"/>
        <v>19.017191541153203</v>
      </c>
      <c r="V908" s="32" t="s">
        <v>316</v>
      </c>
      <c r="X908" s="32">
        <f t="shared" si="53"/>
        <v>19.017191541153203</v>
      </c>
      <c r="Y908" s="32">
        <f>(CPI!$B$112/O908)*X908</f>
        <v>26.57159680488521</v>
      </c>
      <c r="Z908" s="38" t="s">
        <v>262</v>
      </c>
      <c r="AA908" s="35" t="s">
        <v>1445</v>
      </c>
      <c r="AB908" s="32">
        <v>39438</v>
      </c>
      <c r="AC908" s="32" t="s">
        <v>1425</v>
      </c>
      <c r="AH908" s="32" t="s">
        <v>411</v>
      </c>
      <c r="AK908" s="40" t="s">
        <v>1458</v>
      </c>
      <c r="AL908" s="32">
        <v>2016</v>
      </c>
      <c r="AM908" s="32" t="s">
        <v>1459</v>
      </c>
      <c r="AN908" s="32" t="s">
        <v>1460</v>
      </c>
      <c r="AO908" s="38" t="s">
        <v>1461</v>
      </c>
      <c r="AP908" s="35" t="s">
        <v>396</v>
      </c>
    </row>
    <row r="909" spans="1:42" x14ac:dyDescent="0.2">
      <c r="A909" s="40">
        <v>89</v>
      </c>
      <c r="B909" s="40">
        <v>908</v>
      </c>
      <c r="C909" s="40" t="s">
        <v>241</v>
      </c>
      <c r="D909" s="38" t="s">
        <v>240</v>
      </c>
      <c r="E909" s="32" t="s">
        <v>2185</v>
      </c>
      <c r="F909" s="32" t="s">
        <v>2893</v>
      </c>
      <c r="G909" s="54" t="s">
        <v>208</v>
      </c>
      <c r="H909" s="32" t="s">
        <v>115</v>
      </c>
      <c r="I909" s="32" t="s">
        <v>139</v>
      </c>
      <c r="J909" s="32" t="s">
        <v>1430</v>
      </c>
      <c r="K909" s="32" t="s">
        <v>1513</v>
      </c>
      <c r="L909" s="32" t="s">
        <v>1431</v>
      </c>
      <c r="M909" s="32" t="s">
        <v>1432</v>
      </c>
      <c r="N909" s="40">
        <v>2001</v>
      </c>
      <c r="O909" s="32">
        <f>VLOOKUP(Data!N681, CPI!$A$2:$B$112, 2, 0)</f>
        <v>218.05600000000001</v>
      </c>
      <c r="P909" s="32" t="s">
        <v>132</v>
      </c>
      <c r="Q909" s="32" t="s">
        <v>239</v>
      </c>
      <c r="R909" s="32" t="s">
        <v>1441</v>
      </c>
      <c r="S909" s="32">
        <v>13700000</v>
      </c>
      <c r="T909" s="32" t="s">
        <v>300</v>
      </c>
      <c r="U909" s="32">
        <f t="shared" si="54"/>
        <v>347.38069881839851</v>
      </c>
      <c r="V909" s="32" t="s">
        <v>316</v>
      </c>
      <c r="X909" s="32">
        <f t="shared" si="53"/>
        <v>347.38069881839851</v>
      </c>
      <c r="Y909" s="32">
        <f>(CPI!$B$112/O909)*X909</f>
        <v>485.37450163590319</v>
      </c>
      <c r="Z909" s="38" t="s">
        <v>262</v>
      </c>
      <c r="AA909" s="35" t="s">
        <v>1445</v>
      </c>
      <c r="AB909" s="32">
        <v>39438</v>
      </c>
      <c r="AC909" s="32" t="s">
        <v>1425</v>
      </c>
      <c r="AH909" s="32" t="s">
        <v>411</v>
      </c>
      <c r="AK909" s="40" t="s">
        <v>1458</v>
      </c>
      <c r="AL909" s="32">
        <v>2016</v>
      </c>
      <c r="AM909" s="32" t="s">
        <v>1459</v>
      </c>
      <c r="AN909" s="32" t="s">
        <v>1460</v>
      </c>
      <c r="AO909" s="38" t="s">
        <v>1461</v>
      </c>
      <c r="AP909" s="35" t="s">
        <v>396</v>
      </c>
    </row>
    <row r="910" spans="1:42" x14ac:dyDescent="0.2">
      <c r="A910" s="40">
        <v>89</v>
      </c>
      <c r="B910" s="40">
        <v>909</v>
      </c>
      <c r="C910" s="40" t="s">
        <v>241</v>
      </c>
      <c r="D910" s="38" t="s">
        <v>240</v>
      </c>
      <c r="E910" s="32" t="s">
        <v>2183</v>
      </c>
      <c r="F910" s="32" t="s">
        <v>237</v>
      </c>
      <c r="G910" s="36" t="s">
        <v>2907</v>
      </c>
      <c r="H910" s="32" t="s">
        <v>115</v>
      </c>
      <c r="I910" s="32" t="s">
        <v>139</v>
      </c>
      <c r="J910" s="32" t="s">
        <v>1430</v>
      </c>
      <c r="K910" s="32" t="s">
        <v>1513</v>
      </c>
      <c r="L910" s="32" t="s">
        <v>1431</v>
      </c>
      <c r="M910" s="32" t="s">
        <v>1432</v>
      </c>
      <c r="N910" s="40">
        <v>2001</v>
      </c>
      <c r="O910" s="32">
        <f>VLOOKUP(Data!N682, CPI!$A$2:$B$112, 2, 0)</f>
        <v>218.05600000000001</v>
      </c>
      <c r="P910" s="32" t="s">
        <v>132</v>
      </c>
      <c r="Q910" s="32" t="s">
        <v>239</v>
      </c>
      <c r="R910" s="32" t="s">
        <v>1442</v>
      </c>
      <c r="S910" s="32">
        <v>32440000</v>
      </c>
      <c r="T910" s="32" t="s">
        <v>300</v>
      </c>
      <c r="U910" s="32">
        <f t="shared" si="54"/>
        <v>822.55692479334652</v>
      </c>
      <c r="V910" s="32" t="s">
        <v>316</v>
      </c>
      <c r="X910" s="32">
        <f t="shared" si="53"/>
        <v>822.55692479334652</v>
      </c>
      <c r="Y910" s="32">
        <f>(CPI!$B$112/O910)*X910</f>
        <v>1149.310133800635</v>
      </c>
      <c r="Z910" s="38" t="s">
        <v>262</v>
      </c>
      <c r="AA910" s="35" t="s">
        <v>1445</v>
      </c>
      <c r="AB910" s="32">
        <v>39438</v>
      </c>
      <c r="AC910" s="32" t="s">
        <v>1425</v>
      </c>
      <c r="AH910" s="32" t="s">
        <v>411</v>
      </c>
      <c r="AK910" s="40" t="s">
        <v>1458</v>
      </c>
      <c r="AL910" s="32">
        <v>2016</v>
      </c>
      <c r="AM910" s="32" t="s">
        <v>1459</v>
      </c>
      <c r="AN910" s="32" t="s">
        <v>1460</v>
      </c>
      <c r="AO910" s="38" t="s">
        <v>1461</v>
      </c>
      <c r="AP910" s="35" t="s">
        <v>396</v>
      </c>
    </row>
    <row r="911" spans="1:42" x14ac:dyDescent="0.2">
      <c r="A911" s="40">
        <v>89</v>
      </c>
      <c r="B911" s="40">
        <v>910</v>
      </c>
      <c r="C911" s="40" t="s">
        <v>241</v>
      </c>
      <c r="D911" s="38" t="s">
        <v>240</v>
      </c>
      <c r="E911" s="32" t="s">
        <v>2183</v>
      </c>
      <c r="F911" s="32" t="s">
        <v>126</v>
      </c>
      <c r="G911" s="54" t="s">
        <v>2909</v>
      </c>
      <c r="H911" s="32" t="s">
        <v>115</v>
      </c>
      <c r="I911" s="32" t="s">
        <v>139</v>
      </c>
      <c r="J911" s="32" t="s">
        <v>1430</v>
      </c>
      <c r="K911" s="32" t="s">
        <v>1513</v>
      </c>
      <c r="L911" s="32" t="s">
        <v>1431</v>
      </c>
      <c r="M911" s="32" t="s">
        <v>1432</v>
      </c>
      <c r="N911" s="40">
        <v>2001</v>
      </c>
      <c r="O911" s="32">
        <f>VLOOKUP(Data!N683, CPI!$A$2:$B$112, 2, 0)</f>
        <v>218.05600000000001</v>
      </c>
      <c r="P911" s="32" t="s">
        <v>132</v>
      </c>
      <c r="Q911" s="32" t="s">
        <v>239</v>
      </c>
      <c r="R911" s="32" t="s">
        <v>126</v>
      </c>
      <c r="S911" s="32">
        <v>9650000</v>
      </c>
      <c r="T911" s="32" t="s">
        <v>300</v>
      </c>
      <c r="U911" s="32">
        <f t="shared" si="54"/>
        <v>244.68786449617122</v>
      </c>
      <c r="V911" s="32" t="s">
        <v>316</v>
      </c>
      <c r="X911" s="32">
        <f t="shared" si="53"/>
        <v>244.68786449617122</v>
      </c>
      <c r="Y911" s="32">
        <f>(CPI!$B$112/O911)*X911</f>
        <v>341.88787888952305</v>
      </c>
      <c r="Z911" s="38" t="s">
        <v>262</v>
      </c>
      <c r="AA911" s="35" t="s">
        <v>1445</v>
      </c>
      <c r="AB911" s="32">
        <v>39438</v>
      </c>
      <c r="AC911" s="32" t="s">
        <v>1425</v>
      </c>
      <c r="AH911" s="32" t="s">
        <v>411</v>
      </c>
      <c r="AK911" s="40" t="s">
        <v>1458</v>
      </c>
      <c r="AL911" s="32">
        <v>2016</v>
      </c>
      <c r="AM911" s="32" t="s">
        <v>1459</v>
      </c>
      <c r="AN911" s="32" t="s">
        <v>1460</v>
      </c>
      <c r="AO911" s="38" t="s">
        <v>1461</v>
      </c>
      <c r="AP911" s="35" t="s">
        <v>396</v>
      </c>
    </row>
    <row r="912" spans="1:42" x14ac:dyDescent="0.2">
      <c r="A912" s="40">
        <v>89</v>
      </c>
      <c r="B912" s="40">
        <v>911</v>
      </c>
      <c r="C912" s="40" t="s">
        <v>241</v>
      </c>
      <c r="D912" s="38" t="s">
        <v>240</v>
      </c>
      <c r="E912" s="32" t="s">
        <v>2183</v>
      </c>
      <c r="F912" s="32" t="s">
        <v>48</v>
      </c>
      <c r="G912" s="38" t="s">
        <v>2913</v>
      </c>
      <c r="H912" s="32" t="s">
        <v>115</v>
      </c>
      <c r="I912" s="32" t="s">
        <v>139</v>
      </c>
      <c r="J912" s="32" t="s">
        <v>1430</v>
      </c>
      <c r="K912" s="32" t="s">
        <v>1513</v>
      </c>
      <c r="L912" s="32" t="s">
        <v>1431</v>
      </c>
      <c r="M912" s="32" t="s">
        <v>1432</v>
      </c>
      <c r="N912" s="40">
        <v>2001</v>
      </c>
      <c r="O912" s="32">
        <f>VLOOKUP(Data!N684, CPI!$A$2:$B$112, 2, 0)</f>
        <v>218.05600000000001</v>
      </c>
      <c r="P912" s="32" t="s">
        <v>132</v>
      </c>
      <c r="Q912" s="32" t="s">
        <v>239</v>
      </c>
      <c r="R912" s="32" t="s">
        <v>1443</v>
      </c>
      <c r="S912" s="32">
        <v>46600000</v>
      </c>
      <c r="T912" s="32" t="s">
        <v>300</v>
      </c>
      <c r="U912" s="32">
        <f t="shared" si="54"/>
        <v>1181.6015010903191</v>
      </c>
      <c r="V912" s="32" t="s">
        <v>316</v>
      </c>
      <c r="X912" s="32">
        <f t="shared" si="53"/>
        <v>1181.6015010903191</v>
      </c>
      <c r="Y912" s="32">
        <f>(CPI!$B$112/O912)*X912</f>
        <v>1650.9818814768678</v>
      </c>
      <c r="Z912" s="38" t="s">
        <v>262</v>
      </c>
      <c r="AA912" s="35" t="s">
        <v>1445</v>
      </c>
      <c r="AB912" s="32">
        <v>39438</v>
      </c>
      <c r="AC912" s="32" t="s">
        <v>1425</v>
      </c>
      <c r="AH912" s="32" t="s">
        <v>411</v>
      </c>
      <c r="AK912" s="40" t="s">
        <v>1458</v>
      </c>
      <c r="AL912" s="32">
        <v>2016</v>
      </c>
      <c r="AM912" s="32" t="s">
        <v>1459</v>
      </c>
      <c r="AN912" s="32" t="s">
        <v>1460</v>
      </c>
      <c r="AO912" s="38" t="s">
        <v>1461</v>
      </c>
      <c r="AP912" s="35" t="s">
        <v>396</v>
      </c>
    </row>
    <row r="913" spans="1:42" x14ac:dyDescent="0.2">
      <c r="A913" s="40">
        <v>89</v>
      </c>
      <c r="B913" s="40">
        <v>912</v>
      </c>
      <c r="C913" s="40" t="s">
        <v>241</v>
      </c>
      <c r="D913" s="38" t="s">
        <v>240</v>
      </c>
      <c r="E913" s="32" t="s">
        <v>2887</v>
      </c>
      <c r="F913" s="32" t="s">
        <v>121</v>
      </c>
      <c r="G913" s="38" t="s">
        <v>121</v>
      </c>
      <c r="H913" s="32" t="s">
        <v>115</v>
      </c>
      <c r="I913" s="32" t="s">
        <v>139</v>
      </c>
      <c r="J913" s="32" t="s">
        <v>1430</v>
      </c>
      <c r="K913" s="32" t="s">
        <v>1513</v>
      </c>
      <c r="L913" s="32" t="s">
        <v>1431</v>
      </c>
      <c r="M913" s="32" t="s">
        <v>1432</v>
      </c>
      <c r="N913" s="40">
        <v>2001</v>
      </c>
      <c r="O913" s="32">
        <f>VLOOKUP(Data!N685, CPI!$A$2:$B$112, 2, 0)</f>
        <v>218.05600000000001</v>
      </c>
      <c r="P913" s="32" t="s">
        <v>132</v>
      </c>
      <c r="Q913" s="32" t="s">
        <v>239</v>
      </c>
      <c r="R913" s="32" t="s">
        <v>1444</v>
      </c>
      <c r="S913" s="32">
        <v>17280000</v>
      </c>
      <c r="T913" s="32" t="s">
        <v>300</v>
      </c>
      <c r="U913" s="32">
        <f t="shared" si="54"/>
        <v>438.15609310816978</v>
      </c>
      <c r="V913" s="32" t="s">
        <v>316</v>
      </c>
      <c r="X913" s="32">
        <f t="shared" ref="X913:X938" si="55">U913</f>
        <v>438.15609310816978</v>
      </c>
      <c r="Y913" s="32">
        <f>(CPI!$B$112/O913)*X913</f>
        <v>612.20959038455521</v>
      </c>
      <c r="Z913" s="38" t="s">
        <v>262</v>
      </c>
      <c r="AA913" s="35" t="s">
        <v>1445</v>
      </c>
      <c r="AB913" s="32">
        <v>39438</v>
      </c>
      <c r="AC913" s="32" t="s">
        <v>1425</v>
      </c>
      <c r="AH913" s="32" t="s">
        <v>411</v>
      </c>
      <c r="AK913" s="40" t="s">
        <v>1458</v>
      </c>
      <c r="AL913" s="32">
        <v>2016</v>
      </c>
      <c r="AM913" s="32" t="s">
        <v>1459</v>
      </c>
      <c r="AN913" s="32" t="s">
        <v>1460</v>
      </c>
      <c r="AO913" s="38" t="s">
        <v>1461</v>
      </c>
      <c r="AP913" s="35" t="s">
        <v>396</v>
      </c>
    </row>
    <row r="914" spans="1:42" x14ac:dyDescent="0.2">
      <c r="A914" s="40">
        <v>89</v>
      </c>
      <c r="B914" s="40">
        <v>913</v>
      </c>
      <c r="C914" s="40" t="s">
        <v>241</v>
      </c>
      <c r="D914" s="38" t="s">
        <v>240</v>
      </c>
      <c r="E914" s="32" t="s">
        <v>2186</v>
      </c>
      <c r="F914" s="59" t="s">
        <v>2959</v>
      </c>
      <c r="G914" s="54" t="s">
        <v>2895</v>
      </c>
      <c r="H914" s="32" t="s">
        <v>115</v>
      </c>
      <c r="I914" s="32" t="s">
        <v>139</v>
      </c>
      <c r="J914" s="32" t="s">
        <v>1430</v>
      </c>
      <c r="K914" s="32" t="s">
        <v>1513</v>
      </c>
      <c r="L914" s="32" t="s">
        <v>1431</v>
      </c>
      <c r="M914" s="32" t="s">
        <v>1432</v>
      </c>
      <c r="N914" s="40">
        <v>2001</v>
      </c>
      <c r="O914" s="32">
        <f>VLOOKUP(Data!N686, CPI!$A$2:$B$112, 2, 0)</f>
        <v>218.05600000000001</v>
      </c>
      <c r="P914" s="32" t="s">
        <v>132</v>
      </c>
      <c r="Q914" s="32" t="s">
        <v>239</v>
      </c>
      <c r="R914" s="32" t="s">
        <v>1099</v>
      </c>
      <c r="S914" s="32">
        <v>1830000</v>
      </c>
      <c r="T914" s="32" t="s">
        <v>300</v>
      </c>
      <c r="U914" s="32">
        <f t="shared" si="54"/>
        <v>46.401947360413814</v>
      </c>
      <c r="V914" s="32" t="s">
        <v>316</v>
      </c>
      <c r="X914" s="32">
        <f t="shared" si="55"/>
        <v>46.401947360413814</v>
      </c>
      <c r="Y914" s="32">
        <f>(CPI!$B$112/O914)*X914</f>
        <v>64.834696203919918</v>
      </c>
      <c r="Z914" s="38" t="s">
        <v>262</v>
      </c>
      <c r="AA914" s="35" t="s">
        <v>1445</v>
      </c>
      <c r="AB914" s="32">
        <v>39438</v>
      </c>
      <c r="AC914" s="32" t="s">
        <v>1425</v>
      </c>
      <c r="AH914" s="32" t="s">
        <v>411</v>
      </c>
      <c r="AK914" s="40" t="s">
        <v>1458</v>
      </c>
      <c r="AL914" s="32">
        <v>2016</v>
      </c>
      <c r="AM914" s="32" t="s">
        <v>1459</v>
      </c>
      <c r="AN914" s="32" t="s">
        <v>1460</v>
      </c>
      <c r="AO914" s="38" t="s">
        <v>1461</v>
      </c>
      <c r="AP914" s="35" t="s">
        <v>396</v>
      </c>
    </row>
    <row r="915" spans="1:42" x14ac:dyDescent="0.2">
      <c r="A915" s="40">
        <v>89</v>
      </c>
      <c r="B915" s="40">
        <v>914</v>
      </c>
      <c r="C915" s="40" t="s">
        <v>119</v>
      </c>
      <c r="D915" s="38" t="s">
        <v>128</v>
      </c>
      <c r="E915" s="32" t="s">
        <v>2186</v>
      </c>
      <c r="F915" s="59" t="s">
        <v>29</v>
      </c>
      <c r="G915" s="54" t="s">
        <v>29</v>
      </c>
      <c r="H915" s="32" t="s">
        <v>115</v>
      </c>
      <c r="I915" s="32" t="s">
        <v>139</v>
      </c>
      <c r="J915" s="32" t="s">
        <v>1430</v>
      </c>
      <c r="K915" s="32" t="s">
        <v>1513</v>
      </c>
      <c r="L915" s="32" t="s">
        <v>1431</v>
      </c>
      <c r="M915" s="32" t="s">
        <v>1432</v>
      </c>
      <c r="N915" s="40">
        <v>2014</v>
      </c>
      <c r="O915" s="32">
        <f>VLOOKUP(Data!N687, CPI!$A$2:$B$112, 2, 0)</f>
        <v>218.05600000000001</v>
      </c>
      <c r="P915" s="32" t="s">
        <v>132</v>
      </c>
      <c r="Q915" s="32" t="s">
        <v>134</v>
      </c>
      <c r="R915" s="32" t="s">
        <v>1453</v>
      </c>
      <c r="S915" s="32">
        <v>91460000</v>
      </c>
      <c r="T915" s="32" t="s">
        <v>300</v>
      </c>
      <c r="U915" s="32">
        <f t="shared" si="54"/>
        <v>2319.0831178051626</v>
      </c>
      <c r="V915" s="32" t="s">
        <v>316</v>
      </c>
      <c r="X915" s="32">
        <f t="shared" si="55"/>
        <v>2319.0831178051626</v>
      </c>
      <c r="Y915" s="32">
        <f>(CPI!$B$112/O915)*X915</f>
        <v>3240.3176583664017</v>
      </c>
      <c r="Z915" s="38" t="s">
        <v>262</v>
      </c>
      <c r="AA915" s="35" t="s">
        <v>1445</v>
      </c>
      <c r="AB915" s="32">
        <v>39438</v>
      </c>
      <c r="AC915" s="32" t="s">
        <v>1425</v>
      </c>
      <c r="AH915" s="32" t="s">
        <v>411</v>
      </c>
      <c r="AK915" s="40" t="s">
        <v>1458</v>
      </c>
      <c r="AL915" s="32">
        <v>2016</v>
      </c>
      <c r="AM915" s="32" t="s">
        <v>1459</v>
      </c>
      <c r="AN915" s="32" t="s">
        <v>1460</v>
      </c>
      <c r="AO915" s="38" t="s">
        <v>1461</v>
      </c>
      <c r="AP915" s="35" t="s">
        <v>396</v>
      </c>
    </row>
    <row r="916" spans="1:42" x14ac:dyDescent="0.2">
      <c r="A916" s="40">
        <v>89</v>
      </c>
      <c r="B916" s="40">
        <v>915</v>
      </c>
      <c r="C916" s="40" t="s">
        <v>39</v>
      </c>
      <c r="D916" s="38" t="s">
        <v>38</v>
      </c>
      <c r="E916" s="32" t="s">
        <v>2186</v>
      </c>
      <c r="F916" s="59" t="s">
        <v>29</v>
      </c>
      <c r="G916" s="54" t="s">
        <v>29</v>
      </c>
      <c r="H916" s="32" t="s">
        <v>115</v>
      </c>
      <c r="I916" s="32" t="s">
        <v>139</v>
      </c>
      <c r="J916" s="32" t="s">
        <v>1430</v>
      </c>
      <c r="K916" s="32" t="s">
        <v>1513</v>
      </c>
      <c r="L916" s="32" t="s">
        <v>1431</v>
      </c>
      <c r="M916" s="32" t="s">
        <v>1432</v>
      </c>
      <c r="N916" s="40">
        <v>2014</v>
      </c>
      <c r="O916" s="32">
        <f>VLOOKUP(Data!N688, CPI!$A$2:$B$112, 2, 0)</f>
        <v>218.05600000000001</v>
      </c>
      <c r="P916" s="32" t="s">
        <v>132</v>
      </c>
      <c r="Q916" s="32" t="s">
        <v>134</v>
      </c>
      <c r="R916" s="32" t="s">
        <v>1454</v>
      </c>
      <c r="S916" s="32">
        <v>43500000</v>
      </c>
      <c r="T916" s="32" t="s">
        <v>300</v>
      </c>
      <c r="U916" s="32">
        <f t="shared" si="54"/>
        <v>1102.9971093868858</v>
      </c>
      <c r="V916" s="32" t="s">
        <v>316</v>
      </c>
      <c r="X916" s="32">
        <f t="shared" si="55"/>
        <v>1102.9971093868858</v>
      </c>
      <c r="Y916" s="32">
        <f>(CPI!$B$112/O916)*X916</f>
        <v>1541.1526146833421</v>
      </c>
      <c r="Z916" s="38" t="s">
        <v>262</v>
      </c>
      <c r="AA916" s="35" t="s">
        <v>1445</v>
      </c>
      <c r="AB916" s="32">
        <v>39438</v>
      </c>
      <c r="AC916" s="32" t="s">
        <v>1425</v>
      </c>
      <c r="AH916" s="32" t="s">
        <v>411</v>
      </c>
      <c r="AK916" s="40" t="s">
        <v>1458</v>
      </c>
      <c r="AL916" s="32">
        <v>2016</v>
      </c>
      <c r="AM916" s="32" t="s">
        <v>1459</v>
      </c>
      <c r="AN916" s="32" t="s">
        <v>1460</v>
      </c>
      <c r="AO916" s="38" t="s">
        <v>1461</v>
      </c>
      <c r="AP916" s="35" t="s">
        <v>396</v>
      </c>
    </row>
    <row r="917" spans="1:42" x14ac:dyDescent="0.2">
      <c r="A917" s="40">
        <v>89</v>
      </c>
      <c r="B917" s="40">
        <v>916</v>
      </c>
      <c r="C917" s="40" t="s">
        <v>249</v>
      </c>
      <c r="D917" s="38" t="s">
        <v>216</v>
      </c>
      <c r="E917" s="32" t="s">
        <v>2186</v>
      </c>
      <c r="F917" s="59" t="s">
        <v>29</v>
      </c>
      <c r="G917" s="54" t="s">
        <v>29</v>
      </c>
      <c r="H917" s="32" t="s">
        <v>115</v>
      </c>
      <c r="I917" s="32" t="s">
        <v>139</v>
      </c>
      <c r="J917" s="32" t="s">
        <v>1430</v>
      </c>
      <c r="K917" s="32" t="s">
        <v>1513</v>
      </c>
      <c r="L917" s="32" t="s">
        <v>1431</v>
      </c>
      <c r="M917" s="32" t="s">
        <v>1432</v>
      </c>
      <c r="N917" s="40">
        <v>2014</v>
      </c>
      <c r="O917" s="32">
        <f>VLOOKUP(Data!N689, CPI!$A$2:$B$112, 2, 0)</f>
        <v>218.05600000000001</v>
      </c>
      <c r="P917" s="32" t="s">
        <v>132</v>
      </c>
      <c r="Q917" s="32" t="s">
        <v>134</v>
      </c>
      <c r="R917" s="32" t="s">
        <v>1455</v>
      </c>
      <c r="S917" s="32">
        <v>45090000</v>
      </c>
      <c r="T917" s="32" t="s">
        <v>300</v>
      </c>
      <c r="U917" s="32">
        <f t="shared" si="54"/>
        <v>1143.3135554541304</v>
      </c>
      <c r="V917" s="32" t="s">
        <v>316</v>
      </c>
      <c r="X917" s="32">
        <f t="shared" si="55"/>
        <v>1143.3135554541304</v>
      </c>
      <c r="Y917" s="32">
        <f>(CPI!$B$112/O917)*X917</f>
        <v>1597.4843999096986</v>
      </c>
      <c r="Z917" s="38" t="s">
        <v>262</v>
      </c>
      <c r="AA917" s="35" t="s">
        <v>1445</v>
      </c>
      <c r="AB917" s="32">
        <v>39438</v>
      </c>
      <c r="AC917" s="32" t="s">
        <v>1425</v>
      </c>
      <c r="AH917" s="32" t="s">
        <v>411</v>
      </c>
      <c r="AK917" s="40" t="s">
        <v>1458</v>
      </c>
      <c r="AL917" s="32">
        <v>2016</v>
      </c>
      <c r="AM917" s="32" t="s">
        <v>1459</v>
      </c>
      <c r="AN917" s="32" t="s">
        <v>1460</v>
      </c>
      <c r="AO917" s="38" t="s">
        <v>1461</v>
      </c>
      <c r="AP917" s="35" t="s">
        <v>396</v>
      </c>
    </row>
    <row r="918" spans="1:42" x14ac:dyDescent="0.2">
      <c r="A918" s="40">
        <v>89</v>
      </c>
      <c r="B918" s="40">
        <v>917</v>
      </c>
      <c r="C918" s="40" t="s">
        <v>357</v>
      </c>
      <c r="D918" s="38" t="s">
        <v>130</v>
      </c>
      <c r="E918" s="32" t="s">
        <v>2186</v>
      </c>
      <c r="F918" s="59" t="s">
        <v>29</v>
      </c>
      <c r="G918" s="54" t="s">
        <v>29</v>
      </c>
      <c r="H918" s="32" t="s">
        <v>115</v>
      </c>
      <c r="I918" s="32" t="s">
        <v>139</v>
      </c>
      <c r="J918" s="32" t="s">
        <v>1430</v>
      </c>
      <c r="K918" s="32" t="s">
        <v>1513</v>
      </c>
      <c r="L918" s="32" t="s">
        <v>1431</v>
      </c>
      <c r="M918" s="32" t="s">
        <v>1432</v>
      </c>
      <c r="N918" s="40">
        <v>2014</v>
      </c>
      <c r="O918" s="32">
        <f>VLOOKUP(Data!N690, CPI!$A$2:$B$112, 2, 0)</f>
        <v>218.05600000000001</v>
      </c>
      <c r="P918" s="32" t="s">
        <v>132</v>
      </c>
      <c r="Q918" s="32" t="s">
        <v>134</v>
      </c>
      <c r="R918" s="32" t="s">
        <v>1456</v>
      </c>
      <c r="S918" s="32">
        <v>7450000</v>
      </c>
      <c r="T918" s="32" t="s">
        <v>300</v>
      </c>
      <c r="U918" s="32">
        <f t="shared" si="54"/>
        <v>188.90410264212181</v>
      </c>
      <c r="V918" s="32" t="s">
        <v>316</v>
      </c>
      <c r="X918" s="32">
        <f t="shared" si="55"/>
        <v>188.90410264212181</v>
      </c>
      <c r="Y918" s="32">
        <f>(CPI!$B$112/O918)*X918</f>
        <v>263.94452826185977</v>
      </c>
      <c r="Z918" s="38" t="s">
        <v>262</v>
      </c>
      <c r="AA918" s="35" t="s">
        <v>1445</v>
      </c>
      <c r="AB918" s="32">
        <v>39438</v>
      </c>
      <c r="AC918" s="32" t="s">
        <v>1425</v>
      </c>
      <c r="AH918" s="32" t="s">
        <v>411</v>
      </c>
      <c r="AK918" s="40" t="s">
        <v>1458</v>
      </c>
      <c r="AL918" s="32">
        <v>2016</v>
      </c>
      <c r="AM918" s="32" t="s">
        <v>1459</v>
      </c>
      <c r="AN918" s="32" t="s">
        <v>1460</v>
      </c>
      <c r="AO918" s="38" t="s">
        <v>1461</v>
      </c>
      <c r="AP918" s="35" t="s">
        <v>396</v>
      </c>
    </row>
    <row r="919" spans="1:42" x14ac:dyDescent="0.2">
      <c r="A919" s="40">
        <v>89</v>
      </c>
      <c r="B919" s="40">
        <v>918</v>
      </c>
      <c r="C919" s="40" t="s">
        <v>241</v>
      </c>
      <c r="D919" s="38" t="s">
        <v>240</v>
      </c>
      <c r="E919" s="32" t="s">
        <v>2186</v>
      </c>
      <c r="F919" s="59" t="s">
        <v>29</v>
      </c>
      <c r="G919" s="54" t="s">
        <v>29</v>
      </c>
      <c r="H919" s="32" t="s">
        <v>115</v>
      </c>
      <c r="I919" s="32" t="s">
        <v>139</v>
      </c>
      <c r="J919" s="32" t="s">
        <v>1430</v>
      </c>
      <c r="K919" s="32" t="s">
        <v>1513</v>
      </c>
      <c r="L919" s="32" t="s">
        <v>1431</v>
      </c>
      <c r="M919" s="32" t="s">
        <v>1432</v>
      </c>
      <c r="N919" s="40">
        <v>2014</v>
      </c>
      <c r="O919" s="32">
        <f>VLOOKUP(Data!N691, CPI!$A$2:$B$112, 2, 0)</f>
        <v>218.05600000000001</v>
      </c>
      <c r="P919" s="32" t="s">
        <v>132</v>
      </c>
      <c r="Q919" s="32" t="s">
        <v>134</v>
      </c>
      <c r="R919" s="32" t="s">
        <v>1457</v>
      </c>
      <c r="S919" s="32">
        <v>187500000</v>
      </c>
      <c r="T919" s="32" t="s">
        <v>300</v>
      </c>
      <c r="U919" s="32">
        <f t="shared" si="54"/>
        <v>4754.2978852883007</v>
      </c>
      <c r="V919" s="32" t="s">
        <v>316</v>
      </c>
      <c r="X919" s="32">
        <f t="shared" si="55"/>
        <v>4754.2978852883007</v>
      </c>
      <c r="Y919" s="32">
        <f>(CPI!$B$112/O919)*X919</f>
        <v>6642.899201221303</v>
      </c>
      <c r="Z919" s="38" t="s">
        <v>262</v>
      </c>
      <c r="AA919" s="35" t="s">
        <v>1445</v>
      </c>
      <c r="AB919" s="32">
        <v>39438</v>
      </c>
      <c r="AC919" s="32" t="s">
        <v>1425</v>
      </c>
      <c r="AH919" s="32" t="s">
        <v>411</v>
      </c>
      <c r="AK919" s="40" t="s">
        <v>1458</v>
      </c>
      <c r="AL919" s="32">
        <v>2016</v>
      </c>
      <c r="AM919" s="32" t="s">
        <v>1459</v>
      </c>
      <c r="AN919" s="32" t="s">
        <v>1460</v>
      </c>
      <c r="AO919" s="38" t="s">
        <v>1461</v>
      </c>
      <c r="AP919" s="35" t="s">
        <v>396</v>
      </c>
    </row>
    <row r="920" spans="1:42" x14ac:dyDescent="0.2">
      <c r="A920" s="40">
        <v>89</v>
      </c>
      <c r="B920" s="40">
        <v>919</v>
      </c>
      <c r="C920" s="40" t="s">
        <v>241</v>
      </c>
      <c r="D920" s="38" t="s">
        <v>240</v>
      </c>
      <c r="E920" s="32" t="s">
        <v>2184</v>
      </c>
      <c r="F920" s="32" t="s">
        <v>131</v>
      </c>
      <c r="G920" s="38" t="s">
        <v>64</v>
      </c>
      <c r="H920" s="32" t="s">
        <v>115</v>
      </c>
      <c r="I920" s="32" t="s">
        <v>139</v>
      </c>
      <c r="J920" s="32" t="s">
        <v>1430</v>
      </c>
      <c r="K920" s="32" t="s">
        <v>1513</v>
      </c>
      <c r="L920" s="32" t="s">
        <v>1431</v>
      </c>
      <c r="M920" s="32" t="s">
        <v>1432</v>
      </c>
      <c r="N920" s="40">
        <v>2014</v>
      </c>
      <c r="O920" s="32">
        <f>VLOOKUP(Data!N692, CPI!$A$2:$B$112, 2, 0)</f>
        <v>218.05600000000001</v>
      </c>
      <c r="P920" s="32" t="s">
        <v>132</v>
      </c>
      <c r="Q920" s="32" t="s">
        <v>239</v>
      </c>
      <c r="R920" s="32" t="s">
        <v>64</v>
      </c>
      <c r="S920" s="32">
        <v>250000</v>
      </c>
      <c r="T920" s="32" t="s">
        <v>300</v>
      </c>
      <c r="U920" s="32">
        <f t="shared" si="54"/>
        <v>6.3390638470510678</v>
      </c>
      <c r="V920" s="32" t="s">
        <v>316</v>
      </c>
      <c r="X920" s="32">
        <f t="shared" si="55"/>
        <v>6.3390638470510678</v>
      </c>
      <c r="Y920" s="32">
        <f>(CPI!$B$112/O920)*X920</f>
        <v>8.8571989349617368</v>
      </c>
      <c r="Z920" s="38" t="s">
        <v>262</v>
      </c>
      <c r="AA920" s="35" t="s">
        <v>1445</v>
      </c>
      <c r="AB920" s="32">
        <v>39438</v>
      </c>
      <c r="AC920" s="32" t="s">
        <v>1425</v>
      </c>
      <c r="AH920" s="32" t="s">
        <v>411</v>
      </c>
      <c r="AK920" s="40" t="s">
        <v>1458</v>
      </c>
      <c r="AL920" s="32">
        <v>2016</v>
      </c>
      <c r="AM920" s="32" t="s">
        <v>1459</v>
      </c>
      <c r="AN920" s="32" t="s">
        <v>1460</v>
      </c>
      <c r="AO920" s="38" t="s">
        <v>1461</v>
      </c>
      <c r="AP920" s="35" t="s">
        <v>396</v>
      </c>
    </row>
    <row r="921" spans="1:42" x14ac:dyDescent="0.2">
      <c r="A921" s="40">
        <v>89</v>
      </c>
      <c r="B921" s="40">
        <v>920</v>
      </c>
      <c r="C921" s="40" t="s">
        <v>241</v>
      </c>
      <c r="D921" s="38" t="s">
        <v>240</v>
      </c>
      <c r="E921" s="32" t="s">
        <v>2184</v>
      </c>
      <c r="F921" s="32" t="s">
        <v>131</v>
      </c>
      <c r="G921" s="38" t="s">
        <v>2920</v>
      </c>
      <c r="H921" s="32" t="s">
        <v>115</v>
      </c>
      <c r="I921" s="32" t="s">
        <v>139</v>
      </c>
      <c r="J921" s="32" t="s">
        <v>1430</v>
      </c>
      <c r="K921" s="32" t="s">
        <v>1513</v>
      </c>
      <c r="L921" s="32" t="s">
        <v>1431</v>
      </c>
      <c r="M921" s="32" t="s">
        <v>1432</v>
      </c>
      <c r="N921" s="40">
        <v>2014</v>
      </c>
      <c r="O921" s="32">
        <f>VLOOKUP(Data!N693, CPI!$A$2:$B$112, 2, 0)</f>
        <v>218.05600000000001</v>
      </c>
      <c r="P921" s="32" t="s">
        <v>132</v>
      </c>
      <c r="Q921" s="32" t="s">
        <v>239</v>
      </c>
      <c r="R921" s="32" t="s">
        <v>1433</v>
      </c>
      <c r="S921" s="32">
        <v>30340000</v>
      </c>
      <c r="T921" s="32" t="s">
        <v>300</v>
      </c>
      <c r="U921" s="32">
        <f t="shared" si="54"/>
        <v>769.30878847811755</v>
      </c>
      <c r="V921" s="32" t="s">
        <v>316</v>
      </c>
      <c r="X921" s="32">
        <f t="shared" si="55"/>
        <v>769.30878847811755</v>
      </c>
      <c r="Y921" s="32">
        <f>(CPI!$B$112/O921)*X921</f>
        <v>1074.9096627469564</v>
      </c>
      <c r="Z921" s="38" t="s">
        <v>262</v>
      </c>
      <c r="AA921" s="35" t="s">
        <v>1445</v>
      </c>
      <c r="AB921" s="32">
        <v>39438</v>
      </c>
      <c r="AC921" s="32" t="s">
        <v>1425</v>
      </c>
      <c r="AH921" s="32" t="s">
        <v>411</v>
      </c>
      <c r="AK921" s="40" t="s">
        <v>1458</v>
      </c>
      <c r="AL921" s="32">
        <v>2016</v>
      </c>
      <c r="AM921" s="32" t="s">
        <v>1459</v>
      </c>
      <c r="AN921" s="32" t="s">
        <v>1460</v>
      </c>
      <c r="AO921" s="38" t="s">
        <v>1461</v>
      </c>
      <c r="AP921" s="35" t="s">
        <v>396</v>
      </c>
    </row>
    <row r="922" spans="1:42" x14ac:dyDescent="0.2">
      <c r="A922" s="40">
        <v>89</v>
      </c>
      <c r="B922" s="40">
        <v>921</v>
      </c>
      <c r="C922" s="40" t="s">
        <v>241</v>
      </c>
      <c r="D922" s="38" t="s">
        <v>240</v>
      </c>
      <c r="E922" s="32" t="s">
        <v>2186</v>
      </c>
      <c r="F922" s="32" t="s">
        <v>21</v>
      </c>
      <c r="G922" s="38" t="s">
        <v>163</v>
      </c>
      <c r="H922" s="32" t="s">
        <v>115</v>
      </c>
      <c r="I922" s="32" t="s">
        <v>139</v>
      </c>
      <c r="J922" s="32" t="s">
        <v>1430</v>
      </c>
      <c r="K922" s="32" t="s">
        <v>1513</v>
      </c>
      <c r="L922" s="32" t="s">
        <v>1431</v>
      </c>
      <c r="M922" s="32" t="s">
        <v>1432</v>
      </c>
      <c r="N922" s="40">
        <v>2014</v>
      </c>
      <c r="O922" s="32">
        <f>VLOOKUP(Data!N694, CPI!$A$2:$B$112, 2, 0)</f>
        <v>218.05600000000001</v>
      </c>
      <c r="P922" s="32" t="s">
        <v>132</v>
      </c>
      <c r="Q922" s="32" t="s">
        <v>239</v>
      </c>
      <c r="R922" s="32" t="s">
        <v>1434</v>
      </c>
      <c r="S922" s="32">
        <v>860000</v>
      </c>
      <c r="T922" s="32" t="s">
        <v>300</v>
      </c>
      <c r="U922" s="32">
        <f t="shared" si="54"/>
        <v>21.806379633855673</v>
      </c>
      <c r="V922" s="32" t="s">
        <v>316</v>
      </c>
      <c r="X922" s="32">
        <f t="shared" si="55"/>
        <v>21.806379633855673</v>
      </c>
      <c r="Y922" s="32">
        <f>(CPI!$B$112/O922)*X922</f>
        <v>30.468764336268375</v>
      </c>
      <c r="Z922" s="38" t="s">
        <v>262</v>
      </c>
      <c r="AA922" s="35" t="s">
        <v>1445</v>
      </c>
      <c r="AB922" s="32">
        <v>39438</v>
      </c>
      <c r="AC922" s="32" t="s">
        <v>1425</v>
      </c>
      <c r="AH922" s="32" t="s">
        <v>411</v>
      </c>
      <c r="AK922" s="40" t="s">
        <v>1458</v>
      </c>
      <c r="AL922" s="32">
        <v>2016</v>
      </c>
      <c r="AM922" s="32" t="s">
        <v>1459</v>
      </c>
      <c r="AN922" s="32" t="s">
        <v>1460</v>
      </c>
      <c r="AO922" s="38" t="s">
        <v>1461</v>
      </c>
      <c r="AP922" s="35" t="s">
        <v>396</v>
      </c>
    </row>
    <row r="923" spans="1:42" x14ac:dyDescent="0.2">
      <c r="A923" s="40">
        <v>89</v>
      </c>
      <c r="B923" s="40">
        <v>922</v>
      </c>
      <c r="C923" s="40" t="s">
        <v>241</v>
      </c>
      <c r="D923" s="38" t="s">
        <v>240</v>
      </c>
      <c r="E923" s="32" t="s">
        <v>2183</v>
      </c>
      <c r="F923" s="32" t="s">
        <v>244</v>
      </c>
      <c r="G923" s="38" t="s">
        <v>1102</v>
      </c>
      <c r="H923" s="32" t="s">
        <v>115</v>
      </c>
      <c r="I923" s="32" t="s">
        <v>139</v>
      </c>
      <c r="J923" s="32" t="s">
        <v>1430</v>
      </c>
      <c r="K923" s="32" t="s">
        <v>1513</v>
      </c>
      <c r="L923" s="32" t="s">
        <v>1431</v>
      </c>
      <c r="M923" s="32" t="s">
        <v>1432</v>
      </c>
      <c r="N923" s="40">
        <v>2014</v>
      </c>
      <c r="O923" s="32">
        <f>VLOOKUP(Data!N695, CPI!$A$2:$B$112, 2, 0)</f>
        <v>218.05600000000001</v>
      </c>
      <c r="P923" s="32" t="s">
        <v>132</v>
      </c>
      <c r="Q923" s="32" t="s">
        <v>239</v>
      </c>
      <c r="R923" s="32" t="s">
        <v>1435</v>
      </c>
      <c r="S923" s="32">
        <v>4250000</v>
      </c>
      <c r="T923" s="32" t="s">
        <v>300</v>
      </c>
      <c r="U923" s="32">
        <f t="shared" si="54"/>
        <v>107.76408539986815</v>
      </c>
      <c r="V923" s="32" t="s">
        <v>316</v>
      </c>
      <c r="X923" s="32">
        <f t="shared" si="55"/>
        <v>107.76408539986815</v>
      </c>
      <c r="Y923" s="32">
        <f>(CPI!$B$112/O923)*X923</f>
        <v>150.57238189434952</v>
      </c>
      <c r="Z923" s="38" t="s">
        <v>262</v>
      </c>
      <c r="AA923" s="35" t="s">
        <v>1445</v>
      </c>
      <c r="AB923" s="32">
        <v>39438</v>
      </c>
      <c r="AC923" s="32" t="s">
        <v>1425</v>
      </c>
      <c r="AH923" s="32" t="s">
        <v>411</v>
      </c>
      <c r="AK923" s="40" t="s">
        <v>1458</v>
      </c>
      <c r="AL923" s="32">
        <v>2016</v>
      </c>
      <c r="AM923" s="32" t="s">
        <v>1459</v>
      </c>
      <c r="AN923" s="32" t="s">
        <v>1460</v>
      </c>
      <c r="AO923" s="38" t="s">
        <v>1461</v>
      </c>
      <c r="AP923" s="35" t="s">
        <v>396</v>
      </c>
    </row>
    <row r="924" spans="1:42" x14ac:dyDescent="0.2">
      <c r="A924" s="40">
        <v>89</v>
      </c>
      <c r="B924" s="40">
        <v>923</v>
      </c>
      <c r="C924" s="40" t="s">
        <v>241</v>
      </c>
      <c r="D924" s="38" t="s">
        <v>240</v>
      </c>
      <c r="E924" s="32" t="s">
        <v>2183</v>
      </c>
      <c r="F924" s="32" t="s">
        <v>244</v>
      </c>
      <c r="G924" s="38" t="s">
        <v>2908</v>
      </c>
      <c r="H924" s="32" t="s">
        <v>115</v>
      </c>
      <c r="I924" s="32" t="s">
        <v>139</v>
      </c>
      <c r="J924" s="32" t="s">
        <v>1430</v>
      </c>
      <c r="K924" s="32" t="s">
        <v>1513</v>
      </c>
      <c r="L924" s="32" t="s">
        <v>1431</v>
      </c>
      <c r="M924" s="32" t="s">
        <v>1432</v>
      </c>
      <c r="N924" s="40">
        <v>2014</v>
      </c>
      <c r="O924" s="32">
        <f>VLOOKUP(Data!N696, CPI!$A$2:$B$112, 2, 0)</f>
        <v>218.05600000000001</v>
      </c>
      <c r="P924" s="32" t="s">
        <v>132</v>
      </c>
      <c r="Q924" s="32" t="s">
        <v>239</v>
      </c>
      <c r="R924" s="32" t="s">
        <v>1101</v>
      </c>
      <c r="S924" s="32">
        <v>5720000</v>
      </c>
      <c r="T924" s="32" t="s">
        <v>300</v>
      </c>
      <c r="U924" s="32">
        <f t="shared" si="54"/>
        <v>145.03778082052841</v>
      </c>
      <c r="V924" s="32" t="s">
        <v>316</v>
      </c>
      <c r="X924" s="32">
        <f t="shared" si="55"/>
        <v>145.03778082052841</v>
      </c>
      <c r="Y924" s="32">
        <f>(CPI!$B$112/O924)*X924</f>
        <v>202.65271163192452</v>
      </c>
      <c r="Z924" s="38" t="s">
        <v>262</v>
      </c>
      <c r="AA924" s="35" t="s">
        <v>1445</v>
      </c>
      <c r="AB924" s="32">
        <v>39438</v>
      </c>
      <c r="AC924" s="32" t="s">
        <v>1425</v>
      </c>
      <c r="AH924" s="32" t="s">
        <v>411</v>
      </c>
      <c r="AK924" s="40" t="s">
        <v>1458</v>
      </c>
      <c r="AL924" s="32">
        <v>2016</v>
      </c>
      <c r="AM924" s="32" t="s">
        <v>1459</v>
      </c>
      <c r="AN924" s="32" t="s">
        <v>1460</v>
      </c>
      <c r="AO924" s="38" t="s">
        <v>1461</v>
      </c>
      <c r="AP924" s="35" t="s">
        <v>396</v>
      </c>
    </row>
    <row r="925" spans="1:42" x14ac:dyDescent="0.2">
      <c r="A925" s="40">
        <v>89</v>
      </c>
      <c r="B925" s="40">
        <v>924</v>
      </c>
      <c r="C925" s="40" t="s">
        <v>241</v>
      </c>
      <c r="D925" s="38" t="s">
        <v>240</v>
      </c>
      <c r="E925" s="32" t="s">
        <v>2184</v>
      </c>
      <c r="F925" s="32" t="s">
        <v>145</v>
      </c>
      <c r="G925" s="38" t="s">
        <v>146</v>
      </c>
      <c r="H925" s="32" t="s">
        <v>115</v>
      </c>
      <c r="I925" s="32" t="s">
        <v>139</v>
      </c>
      <c r="J925" s="32" t="s">
        <v>1430</v>
      </c>
      <c r="K925" s="32" t="s">
        <v>1513</v>
      </c>
      <c r="L925" s="32" t="s">
        <v>1431</v>
      </c>
      <c r="M925" s="32" t="s">
        <v>1432</v>
      </c>
      <c r="N925" s="40">
        <v>2014</v>
      </c>
      <c r="O925" s="32">
        <f>VLOOKUP(Data!N697, CPI!$A$2:$B$112, 2, 0)</f>
        <v>218.05600000000001</v>
      </c>
      <c r="P925" s="32" t="s">
        <v>132</v>
      </c>
      <c r="Q925" s="32" t="s">
        <v>239</v>
      </c>
      <c r="R925" s="32" t="s">
        <v>1436</v>
      </c>
      <c r="S925" s="32">
        <v>5710000</v>
      </c>
      <c r="T925" s="32" t="s">
        <v>300</v>
      </c>
      <c r="U925" s="32">
        <f t="shared" si="54"/>
        <v>144.78421826664638</v>
      </c>
      <c r="V925" s="32" t="s">
        <v>316</v>
      </c>
      <c r="X925" s="32">
        <f t="shared" si="55"/>
        <v>144.78421826664638</v>
      </c>
      <c r="Y925" s="32">
        <f>(CPI!$B$112/O925)*X925</f>
        <v>202.29842367452605</v>
      </c>
      <c r="Z925" s="38" t="s">
        <v>262</v>
      </c>
      <c r="AA925" s="35" t="s">
        <v>1445</v>
      </c>
      <c r="AB925" s="32">
        <v>39438</v>
      </c>
      <c r="AC925" s="32" t="s">
        <v>1425</v>
      </c>
      <c r="AH925" s="32" t="s">
        <v>411</v>
      </c>
      <c r="AK925" s="40" t="s">
        <v>1458</v>
      </c>
      <c r="AL925" s="32">
        <v>2016</v>
      </c>
      <c r="AM925" s="32" t="s">
        <v>1459</v>
      </c>
      <c r="AN925" s="32" t="s">
        <v>1460</v>
      </c>
      <c r="AO925" s="38" t="s">
        <v>1461</v>
      </c>
      <c r="AP925" s="35" t="s">
        <v>396</v>
      </c>
    </row>
    <row r="926" spans="1:42" x14ac:dyDescent="0.2">
      <c r="A926" s="40">
        <v>89</v>
      </c>
      <c r="B926" s="40">
        <v>925</v>
      </c>
      <c r="C926" s="40" t="s">
        <v>241</v>
      </c>
      <c r="D926" s="38" t="s">
        <v>240</v>
      </c>
      <c r="E926" s="32" t="s">
        <v>2184</v>
      </c>
      <c r="F926" s="32" t="s">
        <v>43</v>
      </c>
      <c r="G926" s="38" t="s">
        <v>46</v>
      </c>
      <c r="H926" s="32" t="s">
        <v>115</v>
      </c>
      <c r="I926" s="32" t="s">
        <v>139</v>
      </c>
      <c r="J926" s="32" t="s">
        <v>1430</v>
      </c>
      <c r="K926" s="32" t="s">
        <v>1513</v>
      </c>
      <c r="L926" s="32" t="s">
        <v>1431</v>
      </c>
      <c r="M926" s="32" t="s">
        <v>1432</v>
      </c>
      <c r="N926" s="40">
        <v>2014</v>
      </c>
      <c r="O926" s="32">
        <f>VLOOKUP(Data!N698, CPI!$A$2:$B$112, 2, 0)</f>
        <v>218.05600000000001</v>
      </c>
      <c r="P926" s="32" t="s">
        <v>132</v>
      </c>
      <c r="Q926" s="32" t="s">
        <v>239</v>
      </c>
      <c r="R926" s="32" t="s">
        <v>1437</v>
      </c>
      <c r="S926" s="32">
        <v>4350000</v>
      </c>
      <c r="T926" s="32" t="s">
        <v>300</v>
      </c>
      <c r="U926" s="32">
        <f t="shared" si="54"/>
        <v>110.29971093868858</v>
      </c>
      <c r="V926" s="32" t="s">
        <v>316</v>
      </c>
      <c r="X926" s="32">
        <f t="shared" si="55"/>
        <v>110.29971093868858</v>
      </c>
      <c r="Y926" s="32">
        <f>(CPI!$B$112/O926)*X926</f>
        <v>154.11526146833421</v>
      </c>
      <c r="Z926" s="38" t="s">
        <v>262</v>
      </c>
      <c r="AA926" s="35" t="s">
        <v>1445</v>
      </c>
      <c r="AB926" s="32">
        <v>39438</v>
      </c>
      <c r="AC926" s="32" t="s">
        <v>1425</v>
      </c>
      <c r="AH926" s="32" t="s">
        <v>411</v>
      </c>
      <c r="AK926" s="40" t="s">
        <v>1458</v>
      </c>
      <c r="AL926" s="32">
        <v>2016</v>
      </c>
      <c r="AM926" s="32" t="s">
        <v>1459</v>
      </c>
      <c r="AN926" s="32" t="s">
        <v>1460</v>
      </c>
      <c r="AO926" s="38" t="s">
        <v>1461</v>
      </c>
      <c r="AP926" s="35" t="s">
        <v>396</v>
      </c>
    </row>
    <row r="927" spans="1:42" x14ac:dyDescent="0.2">
      <c r="A927" s="40">
        <v>89</v>
      </c>
      <c r="B927" s="40">
        <v>926</v>
      </c>
      <c r="C927" s="40" t="s">
        <v>241</v>
      </c>
      <c r="D927" s="38" t="s">
        <v>240</v>
      </c>
      <c r="E927" s="32" t="s">
        <v>2184</v>
      </c>
      <c r="F927" s="32" t="s">
        <v>43</v>
      </c>
      <c r="G927" s="38" t="s">
        <v>44</v>
      </c>
      <c r="H927" s="32" t="s">
        <v>115</v>
      </c>
      <c r="I927" s="32" t="s">
        <v>139</v>
      </c>
      <c r="J927" s="32" t="s">
        <v>1430</v>
      </c>
      <c r="K927" s="32" t="s">
        <v>1513</v>
      </c>
      <c r="L927" s="32" t="s">
        <v>1431</v>
      </c>
      <c r="M927" s="32" t="s">
        <v>1432</v>
      </c>
      <c r="N927" s="40">
        <v>2014</v>
      </c>
      <c r="O927" s="32">
        <f>VLOOKUP(Data!N699, CPI!$A$2:$B$112, 2, 0)</f>
        <v>218.05600000000001</v>
      </c>
      <c r="P927" s="32" t="s">
        <v>132</v>
      </c>
      <c r="Q927" s="32" t="s">
        <v>239</v>
      </c>
      <c r="R927" s="32" t="s">
        <v>44</v>
      </c>
      <c r="S927" s="32">
        <v>16610000</v>
      </c>
      <c r="T927" s="32" t="s">
        <v>300</v>
      </c>
      <c r="U927" s="32">
        <f t="shared" si="54"/>
        <v>421.16740199807293</v>
      </c>
      <c r="V927" s="32" t="s">
        <v>316</v>
      </c>
      <c r="X927" s="32">
        <f t="shared" si="55"/>
        <v>421.16740199807293</v>
      </c>
      <c r="Y927" s="32">
        <f>(CPI!$B$112/O927)*X927</f>
        <v>588.47229723885778</v>
      </c>
      <c r="Z927" s="38" t="s">
        <v>262</v>
      </c>
      <c r="AA927" s="35" t="s">
        <v>1445</v>
      </c>
      <c r="AB927" s="32">
        <v>39438</v>
      </c>
      <c r="AC927" s="32" t="s">
        <v>1425</v>
      </c>
      <c r="AH927" s="32" t="s">
        <v>411</v>
      </c>
      <c r="AK927" s="40" t="s">
        <v>1458</v>
      </c>
      <c r="AL927" s="32">
        <v>2016</v>
      </c>
      <c r="AM927" s="32" t="s">
        <v>1459</v>
      </c>
      <c r="AN927" s="32" t="s">
        <v>1460</v>
      </c>
      <c r="AO927" s="38" t="s">
        <v>1461</v>
      </c>
      <c r="AP927" s="35" t="s">
        <v>396</v>
      </c>
    </row>
    <row r="928" spans="1:42" x14ac:dyDescent="0.2">
      <c r="A928" s="40">
        <v>89</v>
      </c>
      <c r="B928" s="40">
        <v>927</v>
      </c>
      <c r="C928" s="40" t="s">
        <v>241</v>
      </c>
      <c r="D928" s="38" t="s">
        <v>240</v>
      </c>
      <c r="E928" s="32" t="s">
        <v>2184</v>
      </c>
      <c r="F928" s="32" t="s">
        <v>110</v>
      </c>
      <c r="G928" s="54" t="s">
        <v>2928</v>
      </c>
      <c r="H928" s="32" t="s">
        <v>115</v>
      </c>
      <c r="I928" s="32" t="s">
        <v>139</v>
      </c>
      <c r="J928" s="32" t="s">
        <v>1430</v>
      </c>
      <c r="K928" s="32" t="s">
        <v>1513</v>
      </c>
      <c r="L928" s="32" t="s">
        <v>1431</v>
      </c>
      <c r="M928" s="32" t="s">
        <v>1432</v>
      </c>
      <c r="N928" s="40">
        <v>2014</v>
      </c>
      <c r="O928" s="32">
        <f>VLOOKUP(Data!N700, CPI!$A$2:$B$112, 2, 0)</f>
        <v>179.9</v>
      </c>
      <c r="P928" s="32" t="s">
        <v>132</v>
      </c>
      <c r="Q928" s="32" t="s">
        <v>239</v>
      </c>
      <c r="R928" s="32" t="s">
        <v>1438</v>
      </c>
      <c r="S928" s="32">
        <v>6460000</v>
      </c>
      <c r="T928" s="32" t="s">
        <v>300</v>
      </c>
      <c r="U928" s="32">
        <f t="shared" si="54"/>
        <v>163.80140980779959</v>
      </c>
      <c r="V928" s="32" t="s">
        <v>316</v>
      </c>
      <c r="X928" s="32">
        <f t="shared" si="55"/>
        <v>163.80140980779959</v>
      </c>
      <c r="Y928" s="32">
        <f>(CPI!$B$112/O928)*X928</f>
        <v>277.41234677964707</v>
      </c>
      <c r="Z928" s="38" t="s">
        <v>262</v>
      </c>
      <c r="AA928" s="35" t="s">
        <v>1445</v>
      </c>
      <c r="AB928" s="32">
        <v>39438</v>
      </c>
      <c r="AC928" s="32" t="s">
        <v>1425</v>
      </c>
      <c r="AH928" s="32" t="s">
        <v>411</v>
      </c>
      <c r="AK928" s="40" t="s">
        <v>1458</v>
      </c>
      <c r="AL928" s="32">
        <v>2016</v>
      </c>
      <c r="AM928" s="32" t="s">
        <v>1459</v>
      </c>
      <c r="AN928" s="32" t="s">
        <v>1460</v>
      </c>
      <c r="AO928" s="38" t="s">
        <v>1461</v>
      </c>
      <c r="AP928" s="35" t="s">
        <v>396</v>
      </c>
    </row>
    <row r="929" spans="1:42" x14ac:dyDescent="0.2">
      <c r="A929" s="40">
        <v>89</v>
      </c>
      <c r="B929" s="40">
        <v>928</v>
      </c>
      <c r="C929" s="40" t="s">
        <v>241</v>
      </c>
      <c r="D929" s="38" t="s">
        <v>240</v>
      </c>
      <c r="E929" s="32" t="s">
        <v>2186</v>
      </c>
      <c r="F929" s="32" t="s">
        <v>21</v>
      </c>
      <c r="G929" s="38" t="s">
        <v>163</v>
      </c>
      <c r="H929" s="32" t="s">
        <v>115</v>
      </c>
      <c r="I929" s="32" t="s">
        <v>139</v>
      </c>
      <c r="J929" s="32" t="s">
        <v>1430</v>
      </c>
      <c r="K929" s="32" t="s">
        <v>1513</v>
      </c>
      <c r="L929" s="32" t="s">
        <v>1431</v>
      </c>
      <c r="M929" s="32" t="s">
        <v>1432</v>
      </c>
      <c r="N929" s="40">
        <v>2014</v>
      </c>
      <c r="O929" s="32">
        <f>VLOOKUP(Data!N701, CPI!$A$2:$B$112, 2, 0)</f>
        <v>179.9</v>
      </c>
      <c r="P929" s="32" t="s">
        <v>132</v>
      </c>
      <c r="Q929" s="32" t="s">
        <v>239</v>
      </c>
      <c r="R929" s="32" t="s">
        <v>1439</v>
      </c>
      <c r="S929" s="32">
        <v>930000</v>
      </c>
      <c r="T929" s="32" t="s">
        <v>300</v>
      </c>
      <c r="U929" s="32">
        <f t="shared" si="54"/>
        <v>23.581317511029972</v>
      </c>
      <c r="V929" s="32" t="s">
        <v>316</v>
      </c>
      <c r="X929" s="32">
        <f t="shared" si="55"/>
        <v>23.581317511029972</v>
      </c>
      <c r="Y929" s="32">
        <f>(CPI!$B$112/O929)*X929</f>
        <v>39.937071595212345</v>
      </c>
      <c r="Z929" s="38" t="s">
        <v>262</v>
      </c>
      <c r="AA929" s="35" t="s">
        <v>1445</v>
      </c>
      <c r="AB929" s="32">
        <v>39438</v>
      </c>
      <c r="AC929" s="32" t="s">
        <v>1425</v>
      </c>
      <c r="AH929" s="32" t="s">
        <v>411</v>
      </c>
      <c r="AK929" s="40" t="s">
        <v>1458</v>
      </c>
      <c r="AL929" s="32">
        <v>2016</v>
      </c>
      <c r="AM929" s="32" t="s">
        <v>1459</v>
      </c>
      <c r="AN929" s="32" t="s">
        <v>1460</v>
      </c>
      <c r="AO929" s="38" t="s">
        <v>1461</v>
      </c>
      <c r="AP929" s="35" t="s">
        <v>396</v>
      </c>
    </row>
    <row r="930" spans="1:42" x14ac:dyDescent="0.2">
      <c r="A930" s="40">
        <v>89</v>
      </c>
      <c r="B930" s="40">
        <v>929</v>
      </c>
      <c r="C930" s="40" t="s">
        <v>241</v>
      </c>
      <c r="D930" s="38" t="s">
        <v>240</v>
      </c>
      <c r="E930" s="32" t="s">
        <v>2184</v>
      </c>
      <c r="F930" s="32" t="s">
        <v>36</v>
      </c>
      <c r="G930" s="54" t="s">
        <v>2934</v>
      </c>
      <c r="H930" s="32" t="s">
        <v>115</v>
      </c>
      <c r="I930" s="32" t="s">
        <v>139</v>
      </c>
      <c r="J930" s="32" t="s">
        <v>1430</v>
      </c>
      <c r="K930" s="32" t="s">
        <v>1513</v>
      </c>
      <c r="L930" s="32" t="s">
        <v>1431</v>
      </c>
      <c r="M930" s="32" t="s">
        <v>1432</v>
      </c>
      <c r="N930" s="40">
        <v>2014</v>
      </c>
      <c r="O930" s="32">
        <f>VLOOKUP(Data!N702, CPI!$A$2:$B$112, 2, 0)</f>
        <v>179.9</v>
      </c>
      <c r="P930" s="32" t="s">
        <v>132</v>
      </c>
      <c r="Q930" s="32" t="s">
        <v>239</v>
      </c>
      <c r="R930" s="32" t="s">
        <v>1440</v>
      </c>
      <c r="S930" s="32">
        <v>730000</v>
      </c>
      <c r="T930" s="32" t="s">
        <v>300</v>
      </c>
      <c r="U930" s="32">
        <f t="shared" si="54"/>
        <v>18.510066433389117</v>
      </c>
      <c r="V930" s="32" t="s">
        <v>316</v>
      </c>
      <c r="X930" s="32">
        <f t="shared" si="55"/>
        <v>18.510066433389117</v>
      </c>
      <c r="Y930" s="32">
        <f>(CPI!$B$112/O930)*X930</f>
        <v>31.348454047854851</v>
      </c>
      <c r="Z930" s="38" t="s">
        <v>262</v>
      </c>
      <c r="AA930" s="35" t="s">
        <v>1445</v>
      </c>
      <c r="AB930" s="32">
        <v>39438</v>
      </c>
      <c r="AC930" s="32" t="s">
        <v>1425</v>
      </c>
      <c r="AH930" s="32" t="s">
        <v>411</v>
      </c>
      <c r="AK930" s="40" t="s">
        <v>1458</v>
      </c>
      <c r="AL930" s="32">
        <v>2016</v>
      </c>
      <c r="AM930" s="32" t="s">
        <v>1459</v>
      </c>
      <c r="AN930" s="32" t="s">
        <v>1460</v>
      </c>
      <c r="AO930" s="38" t="s">
        <v>1461</v>
      </c>
      <c r="AP930" s="35" t="s">
        <v>396</v>
      </c>
    </row>
    <row r="931" spans="1:42" x14ac:dyDescent="0.2">
      <c r="A931" s="40">
        <v>89</v>
      </c>
      <c r="B931" s="40">
        <v>930</v>
      </c>
      <c r="C931" s="40" t="s">
        <v>241</v>
      </c>
      <c r="D931" s="38" t="s">
        <v>240</v>
      </c>
      <c r="E931" s="32" t="s">
        <v>2185</v>
      </c>
      <c r="F931" s="32" t="s">
        <v>2893</v>
      </c>
      <c r="G931" s="54" t="s">
        <v>208</v>
      </c>
      <c r="H931" s="32" t="s">
        <v>115</v>
      </c>
      <c r="I931" s="32" t="s">
        <v>139</v>
      </c>
      <c r="J931" s="32" t="s">
        <v>1430</v>
      </c>
      <c r="K931" s="32" t="s">
        <v>1513</v>
      </c>
      <c r="L931" s="32" t="s">
        <v>1431</v>
      </c>
      <c r="M931" s="32" t="s">
        <v>1432</v>
      </c>
      <c r="N931" s="40">
        <v>2014</v>
      </c>
      <c r="O931" s="32">
        <f>VLOOKUP(Data!N703, CPI!$A$2:$B$112, 2, 0)</f>
        <v>179.9</v>
      </c>
      <c r="P931" s="32" t="s">
        <v>132</v>
      </c>
      <c r="Q931" s="32" t="s">
        <v>239</v>
      </c>
      <c r="R931" s="32" t="s">
        <v>1441</v>
      </c>
      <c r="S931" s="32">
        <v>13510000</v>
      </c>
      <c r="T931" s="32" t="s">
        <v>300</v>
      </c>
      <c r="U931" s="32">
        <f t="shared" si="54"/>
        <v>342.5630102946397</v>
      </c>
      <c r="V931" s="32" t="s">
        <v>316</v>
      </c>
      <c r="X931" s="32">
        <f t="shared" si="55"/>
        <v>342.5630102946397</v>
      </c>
      <c r="Y931" s="32">
        <f>(CPI!$B$112/O931)*X931</f>
        <v>580.16111532399873</v>
      </c>
      <c r="Z931" s="38" t="s">
        <v>262</v>
      </c>
      <c r="AA931" s="35" t="s">
        <v>1445</v>
      </c>
      <c r="AB931" s="32">
        <v>39438</v>
      </c>
      <c r="AC931" s="32" t="s">
        <v>1425</v>
      </c>
      <c r="AH931" s="32" t="s">
        <v>411</v>
      </c>
      <c r="AK931" s="40" t="s">
        <v>1458</v>
      </c>
      <c r="AL931" s="32">
        <v>2016</v>
      </c>
      <c r="AM931" s="32" t="s">
        <v>1459</v>
      </c>
      <c r="AN931" s="32" t="s">
        <v>1460</v>
      </c>
      <c r="AO931" s="38" t="s">
        <v>1461</v>
      </c>
      <c r="AP931" s="35" t="s">
        <v>396</v>
      </c>
    </row>
    <row r="932" spans="1:42" x14ac:dyDescent="0.2">
      <c r="A932" s="40">
        <v>89</v>
      </c>
      <c r="B932" s="40">
        <v>931</v>
      </c>
      <c r="C932" s="40" t="s">
        <v>241</v>
      </c>
      <c r="D932" s="38" t="s">
        <v>240</v>
      </c>
      <c r="E932" s="32" t="s">
        <v>2183</v>
      </c>
      <c r="F932" s="32" t="s">
        <v>237</v>
      </c>
      <c r="G932" s="36" t="s">
        <v>2907</v>
      </c>
      <c r="H932" s="32" t="s">
        <v>115</v>
      </c>
      <c r="I932" s="32" t="s">
        <v>139</v>
      </c>
      <c r="J932" s="32" t="s">
        <v>1430</v>
      </c>
      <c r="K932" s="32" t="s">
        <v>1513</v>
      </c>
      <c r="L932" s="32" t="s">
        <v>1431</v>
      </c>
      <c r="M932" s="32" t="s">
        <v>1432</v>
      </c>
      <c r="N932" s="40">
        <v>2014</v>
      </c>
      <c r="O932" s="32">
        <f>VLOOKUP(Data!N704, CPI!$A$2:$B$112, 2, 0)</f>
        <v>179.9</v>
      </c>
      <c r="P932" s="32" t="s">
        <v>132</v>
      </c>
      <c r="Q932" s="32" t="s">
        <v>239</v>
      </c>
      <c r="R932" s="32" t="s">
        <v>1442</v>
      </c>
      <c r="S932" s="32">
        <v>33590000</v>
      </c>
      <c r="T932" s="32" t="s">
        <v>300</v>
      </c>
      <c r="U932" s="32">
        <f t="shared" si="54"/>
        <v>851.71661848978147</v>
      </c>
      <c r="V932" s="32" t="s">
        <v>316</v>
      </c>
      <c r="X932" s="32">
        <f t="shared" si="55"/>
        <v>851.71661848978147</v>
      </c>
      <c r="Y932" s="32">
        <f>(CPI!$B$112/O932)*X932</f>
        <v>1442.4583170786912</v>
      </c>
      <c r="Z932" s="38" t="s">
        <v>262</v>
      </c>
      <c r="AA932" s="35" t="s">
        <v>1445</v>
      </c>
      <c r="AB932" s="32">
        <v>39438</v>
      </c>
      <c r="AC932" s="32" t="s">
        <v>1425</v>
      </c>
      <c r="AH932" s="32" t="s">
        <v>411</v>
      </c>
      <c r="AK932" s="40" t="s">
        <v>1458</v>
      </c>
      <c r="AL932" s="32">
        <v>2016</v>
      </c>
      <c r="AM932" s="32" t="s">
        <v>1459</v>
      </c>
      <c r="AN932" s="32" t="s">
        <v>1460</v>
      </c>
      <c r="AO932" s="38" t="s">
        <v>1461</v>
      </c>
      <c r="AP932" s="35" t="s">
        <v>396</v>
      </c>
    </row>
    <row r="933" spans="1:42" x14ac:dyDescent="0.2">
      <c r="A933" s="40">
        <v>89</v>
      </c>
      <c r="B933" s="40">
        <v>932</v>
      </c>
      <c r="C933" s="40" t="s">
        <v>241</v>
      </c>
      <c r="D933" s="38" t="s">
        <v>240</v>
      </c>
      <c r="E933" s="32" t="s">
        <v>2183</v>
      </c>
      <c r="F933" s="32" t="s">
        <v>126</v>
      </c>
      <c r="G933" s="54" t="s">
        <v>2909</v>
      </c>
      <c r="H933" s="32" t="s">
        <v>115</v>
      </c>
      <c r="I933" s="32" t="s">
        <v>139</v>
      </c>
      <c r="J933" s="32" t="s">
        <v>1430</v>
      </c>
      <c r="K933" s="32" t="s">
        <v>1513</v>
      </c>
      <c r="L933" s="32" t="s">
        <v>1431</v>
      </c>
      <c r="M933" s="32" t="s">
        <v>1432</v>
      </c>
      <c r="N933" s="40">
        <v>2014</v>
      </c>
      <c r="O933" s="32">
        <f>VLOOKUP(Data!N705, CPI!$A$2:$B$112, 2, 0)</f>
        <v>179.9</v>
      </c>
      <c r="P933" s="32" t="s">
        <v>132</v>
      </c>
      <c r="Q933" s="32" t="s">
        <v>239</v>
      </c>
      <c r="R933" s="32" t="s">
        <v>126</v>
      </c>
      <c r="S933" s="32">
        <v>7970000</v>
      </c>
      <c r="T933" s="32" t="s">
        <v>300</v>
      </c>
      <c r="U933" s="32">
        <f t="shared" si="54"/>
        <v>202.08935544398804</v>
      </c>
      <c r="V933" s="32" t="s">
        <v>316</v>
      </c>
      <c r="X933" s="32">
        <f t="shared" si="55"/>
        <v>202.08935544398804</v>
      </c>
      <c r="Y933" s="32">
        <f>(CPI!$B$112/O933)*X933</f>
        <v>342.25640926219614</v>
      </c>
      <c r="Z933" s="38" t="s">
        <v>262</v>
      </c>
      <c r="AA933" s="35" t="s">
        <v>1445</v>
      </c>
      <c r="AB933" s="32">
        <v>39438</v>
      </c>
      <c r="AC933" s="32" t="s">
        <v>1425</v>
      </c>
      <c r="AH933" s="32" t="s">
        <v>411</v>
      </c>
      <c r="AK933" s="40" t="s">
        <v>1458</v>
      </c>
      <c r="AL933" s="32">
        <v>2016</v>
      </c>
      <c r="AM933" s="32" t="s">
        <v>1459</v>
      </c>
      <c r="AN933" s="32" t="s">
        <v>1460</v>
      </c>
      <c r="AO933" s="38" t="s">
        <v>1461</v>
      </c>
      <c r="AP933" s="35" t="s">
        <v>396</v>
      </c>
    </row>
    <row r="934" spans="1:42" x14ac:dyDescent="0.2">
      <c r="A934" s="40">
        <v>89</v>
      </c>
      <c r="B934" s="40">
        <v>933</v>
      </c>
      <c r="C934" s="40" t="s">
        <v>241</v>
      </c>
      <c r="D934" s="38" t="s">
        <v>240</v>
      </c>
      <c r="E934" s="32" t="s">
        <v>2183</v>
      </c>
      <c r="F934" s="32" t="s">
        <v>48</v>
      </c>
      <c r="G934" s="38" t="s">
        <v>2913</v>
      </c>
      <c r="H934" s="32" t="s">
        <v>115</v>
      </c>
      <c r="I934" s="32" t="s">
        <v>139</v>
      </c>
      <c r="J934" s="32" t="s">
        <v>1430</v>
      </c>
      <c r="K934" s="32" t="s">
        <v>1513</v>
      </c>
      <c r="L934" s="32" t="s">
        <v>1431</v>
      </c>
      <c r="M934" s="32" t="s">
        <v>1432</v>
      </c>
      <c r="N934" s="40">
        <v>2014</v>
      </c>
      <c r="O934" s="32">
        <f>VLOOKUP(Data!N706, CPI!$A$2:$B$112, 2, 0)</f>
        <v>179.9</v>
      </c>
      <c r="P934" s="32" t="s">
        <v>132</v>
      </c>
      <c r="Q934" s="32" t="s">
        <v>239</v>
      </c>
      <c r="R934" s="32" t="s">
        <v>1443</v>
      </c>
      <c r="S934" s="32">
        <v>40960000</v>
      </c>
      <c r="T934" s="32" t="s">
        <v>300</v>
      </c>
      <c r="U934" s="32">
        <f t="shared" si="54"/>
        <v>1038.5922207008468</v>
      </c>
      <c r="V934" s="32" t="s">
        <v>316</v>
      </c>
      <c r="X934" s="32">
        <f t="shared" si="55"/>
        <v>1038.5922207008468</v>
      </c>
      <c r="Y934" s="32">
        <f>(CPI!$B$112/O934)*X934</f>
        <v>1758.9488736988146</v>
      </c>
      <c r="Z934" s="38" t="s">
        <v>262</v>
      </c>
      <c r="AA934" s="35" t="s">
        <v>1445</v>
      </c>
      <c r="AB934" s="32">
        <v>39438</v>
      </c>
      <c r="AC934" s="32" t="s">
        <v>1425</v>
      </c>
      <c r="AH934" s="32" t="s">
        <v>411</v>
      </c>
      <c r="AK934" s="40" t="s">
        <v>1458</v>
      </c>
      <c r="AL934" s="32">
        <v>2016</v>
      </c>
      <c r="AM934" s="32" t="s">
        <v>1459</v>
      </c>
      <c r="AN934" s="32" t="s">
        <v>1460</v>
      </c>
      <c r="AO934" s="38" t="s">
        <v>1461</v>
      </c>
      <c r="AP934" s="35" t="s">
        <v>396</v>
      </c>
    </row>
    <row r="935" spans="1:42" x14ac:dyDescent="0.2">
      <c r="A935" s="40">
        <v>89</v>
      </c>
      <c r="B935" s="40">
        <v>934</v>
      </c>
      <c r="C935" s="40" t="s">
        <v>241</v>
      </c>
      <c r="D935" s="38" t="s">
        <v>240</v>
      </c>
      <c r="E935" s="32" t="s">
        <v>2887</v>
      </c>
      <c r="F935" s="32" t="s">
        <v>121</v>
      </c>
      <c r="G935" s="38" t="s">
        <v>121</v>
      </c>
      <c r="H935" s="32" t="s">
        <v>115</v>
      </c>
      <c r="I935" s="32" t="s">
        <v>139</v>
      </c>
      <c r="J935" s="32" t="s">
        <v>1430</v>
      </c>
      <c r="K935" s="32" t="s">
        <v>1513</v>
      </c>
      <c r="L935" s="32" t="s">
        <v>1431</v>
      </c>
      <c r="M935" s="32" t="s">
        <v>1432</v>
      </c>
      <c r="N935" s="40">
        <v>2014</v>
      </c>
      <c r="O935" s="32">
        <f>VLOOKUP(Data!N707, CPI!$A$2:$B$112, 2, 0)</f>
        <v>179.9</v>
      </c>
      <c r="P935" s="32" t="s">
        <v>132</v>
      </c>
      <c r="Q935" s="32" t="s">
        <v>239</v>
      </c>
      <c r="R935" s="32" t="s">
        <v>1444</v>
      </c>
      <c r="S935" s="32">
        <v>13430000</v>
      </c>
      <c r="T935" s="32" t="s">
        <v>300</v>
      </c>
      <c r="U935" s="32">
        <f t="shared" si="54"/>
        <v>340.53450986358337</v>
      </c>
      <c r="V935" s="32" t="s">
        <v>316</v>
      </c>
      <c r="X935" s="32">
        <f t="shared" si="55"/>
        <v>340.53450986358337</v>
      </c>
      <c r="Y935" s="32">
        <f>(CPI!$B$112/O935)*X935</f>
        <v>576.72566830505571</v>
      </c>
      <c r="Z935" s="38" t="s">
        <v>262</v>
      </c>
      <c r="AA935" s="35" t="s">
        <v>1445</v>
      </c>
      <c r="AB935" s="32">
        <v>39438</v>
      </c>
      <c r="AC935" s="32" t="s">
        <v>1425</v>
      </c>
      <c r="AH935" s="32" t="s">
        <v>411</v>
      </c>
      <c r="AK935" s="40" t="s">
        <v>1458</v>
      </c>
      <c r="AL935" s="32">
        <v>2016</v>
      </c>
      <c r="AM935" s="32" t="s">
        <v>1459</v>
      </c>
      <c r="AN935" s="32" t="s">
        <v>1460</v>
      </c>
      <c r="AO935" s="38" t="s">
        <v>1461</v>
      </c>
      <c r="AP935" s="35" t="s">
        <v>396</v>
      </c>
    </row>
    <row r="936" spans="1:42" x14ac:dyDescent="0.2">
      <c r="A936" s="40">
        <v>89</v>
      </c>
      <c r="B936" s="40">
        <v>935</v>
      </c>
      <c r="C936" s="40" t="s">
        <v>241</v>
      </c>
      <c r="D936" s="38" t="s">
        <v>240</v>
      </c>
      <c r="E936" s="32" t="s">
        <v>2186</v>
      </c>
      <c r="F936" s="59" t="s">
        <v>2959</v>
      </c>
      <c r="G936" s="54" t="s">
        <v>2895</v>
      </c>
      <c r="H936" s="32" t="s">
        <v>115</v>
      </c>
      <c r="I936" s="32" t="s">
        <v>139</v>
      </c>
      <c r="J936" s="32" t="s">
        <v>1430</v>
      </c>
      <c r="K936" s="32" t="s">
        <v>1513</v>
      </c>
      <c r="L936" s="32" t="s">
        <v>1431</v>
      </c>
      <c r="M936" s="32" t="s">
        <v>1432</v>
      </c>
      <c r="N936" s="40">
        <v>2014</v>
      </c>
      <c r="O936" s="32">
        <f>VLOOKUP(Data!N708, CPI!$A$2:$B$112, 2, 0)</f>
        <v>179.9</v>
      </c>
      <c r="P936" s="32" t="s">
        <v>132</v>
      </c>
      <c r="Q936" s="32" t="s">
        <v>239</v>
      </c>
      <c r="R936" s="32" t="s">
        <v>1099</v>
      </c>
      <c r="S936" s="32">
        <v>1820000</v>
      </c>
      <c r="T936" s="32" t="s">
        <v>300</v>
      </c>
      <c r="U936" s="32">
        <f t="shared" si="54"/>
        <v>46.148384806531773</v>
      </c>
      <c r="V936" s="32" t="s">
        <v>316</v>
      </c>
      <c r="X936" s="32">
        <f t="shared" si="55"/>
        <v>46.148384806531773</v>
      </c>
      <c r="Y936" s="32">
        <f>(CPI!$B$112/O936)*X936</f>
        <v>78.156419680953192</v>
      </c>
      <c r="Z936" s="38" t="s">
        <v>262</v>
      </c>
      <c r="AA936" s="35" t="s">
        <v>1445</v>
      </c>
      <c r="AB936" s="32">
        <v>39438</v>
      </c>
      <c r="AC936" s="32" t="s">
        <v>1425</v>
      </c>
      <c r="AH936" s="32" t="s">
        <v>411</v>
      </c>
      <c r="AK936" s="40" t="s">
        <v>1458</v>
      </c>
      <c r="AL936" s="32">
        <v>2016</v>
      </c>
      <c r="AM936" s="32" t="s">
        <v>1459</v>
      </c>
      <c r="AN936" s="32" t="s">
        <v>1460</v>
      </c>
      <c r="AO936" s="38" t="s">
        <v>1461</v>
      </c>
      <c r="AP936" s="35" t="s">
        <v>396</v>
      </c>
    </row>
    <row r="937" spans="1:42" x14ac:dyDescent="0.2">
      <c r="A937" s="40">
        <v>90</v>
      </c>
      <c r="B937" s="40">
        <v>936</v>
      </c>
      <c r="C937" s="40" t="s">
        <v>149</v>
      </c>
      <c r="D937" s="38" t="s">
        <v>148</v>
      </c>
      <c r="E937" s="32" t="s">
        <v>2183</v>
      </c>
      <c r="F937" s="32" t="s">
        <v>126</v>
      </c>
      <c r="G937" s="35" t="s">
        <v>152</v>
      </c>
      <c r="H937" s="32" t="s">
        <v>30</v>
      </c>
      <c r="I937" s="32" t="s">
        <v>120</v>
      </c>
      <c r="J937" s="32" t="s">
        <v>1462</v>
      </c>
      <c r="K937" s="32" t="s">
        <v>1513</v>
      </c>
      <c r="L937" s="32" t="s">
        <v>30</v>
      </c>
      <c r="M937" s="32" t="s">
        <v>30</v>
      </c>
      <c r="N937" s="40">
        <v>2010</v>
      </c>
      <c r="O937" s="32">
        <f>VLOOKUP(Data!N709, CPI!$A$2:$B$112, 2, 0)</f>
        <v>179.9</v>
      </c>
      <c r="P937" s="32" t="s">
        <v>238</v>
      </c>
      <c r="Q937" s="32" t="s">
        <v>172</v>
      </c>
      <c r="R937" s="32" t="s">
        <v>1463</v>
      </c>
      <c r="S937" s="32">
        <v>40</v>
      </c>
      <c r="T937" s="32" t="s">
        <v>316</v>
      </c>
      <c r="U937" s="32">
        <v>40</v>
      </c>
      <c r="V937" s="32" t="s">
        <v>316</v>
      </c>
      <c r="X937" s="32">
        <f t="shared" si="55"/>
        <v>40</v>
      </c>
      <c r="Y937" s="32">
        <f>(CPI!$B$112/O937)*X937</f>
        <v>67.743579766536968</v>
      </c>
      <c r="Z937" s="60" t="s">
        <v>262</v>
      </c>
      <c r="AA937" s="35" t="s">
        <v>1464</v>
      </c>
      <c r="AB937" s="32">
        <v>65.150000000000006</v>
      </c>
      <c r="AC937" s="32" t="s">
        <v>1464</v>
      </c>
      <c r="AH937" s="32" t="s">
        <v>411</v>
      </c>
      <c r="AK937" s="40" t="s">
        <v>1465</v>
      </c>
      <c r="AL937" s="32">
        <v>2012</v>
      </c>
      <c r="AM937" s="32" t="s">
        <v>1466</v>
      </c>
      <c r="AN937" s="32" t="s">
        <v>1467</v>
      </c>
      <c r="AO937" s="38" t="s">
        <v>1468</v>
      </c>
      <c r="AP937" s="35" t="s">
        <v>396</v>
      </c>
    </row>
    <row r="938" spans="1:42" x14ac:dyDescent="0.2">
      <c r="A938" s="40">
        <v>90</v>
      </c>
      <c r="B938" s="40">
        <v>937</v>
      </c>
      <c r="C938" s="40" t="s">
        <v>149</v>
      </c>
      <c r="D938" s="38" t="s">
        <v>148</v>
      </c>
      <c r="E938" s="32" t="s">
        <v>2183</v>
      </c>
      <c r="F938" s="32" t="s">
        <v>237</v>
      </c>
      <c r="G938" s="36" t="s">
        <v>2907</v>
      </c>
      <c r="H938" s="32" t="s">
        <v>30</v>
      </c>
      <c r="I938" s="32" t="s">
        <v>120</v>
      </c>
      <c r="J938" s="32" t="s">
        <v>1462</v>
      </c>
      <c r="K938" s="32" t="s">
        <v>1513</v>
      </c>
      <c r="L938" s="32" t="s">
        <v>30</v>
      </c>
      <c r="M938" s="32" t="s">
        <v>30</v>
      </c>
      <c r="N938" s="40">
        <v>2009</v>
      </c>
      <c r="O938" s="32">
        <f>VLOOKUP(Data!N710, CPI!$A$2:$B$112, 2, 0)</f>
        <v>179.9</v>
      </c>
      <c r="P938" s="32" t="s">
        <v>238</v>
      </c>
      <c r="Q938" s="32" t="s">
        <v>239</v>
      </c>
      <c r="R938" s="32" t="s">
        <v>2542</v>
      </c>
      <c r="S938" s="32">
        <v>1539</v>
      </c>
      <c r="T938" s="32" t="s">
        <v>316</v>
      </c>
      <c r="U938" s="32">
        <v>1539</v>
      </c>
      <c r="V938" s="32" t="s">
        <v>316</v>
      </c>
      <c r="X938" s="32">
        <f t="shared" si="55"/>
        <v>1539</v>
      </c>
      <c r="Y938" s="32">
        <f>(CPI!$B$112/O938)*X938</f>
        <v>2606.4342315175099</v>
      </c>
      <c r="Z938" s="60" t="s">
        <v>262</v>
      </c>
      <c r="AA938" s="35" t="s">
        <v>1464</v>
      </c>
      <c r="AB938" s="32">
        <v>62.75</v>
      </c>
      <c r="AC938" s="32" t="s">
        <v>1464</v>
      </c>
      <c r="AH938" s="32" t="s">
        <v>411</v>
      </c>
      <c r="AK938" s="40" t="s">
        <v>1465</v>
      </c>
      <c r="AL938" s="32">
        <v>2012</v>
      </c>
      <c r="AM938" s="32" t="s">
        <v>1466</v>
      </c>
      <c r="AN938" s="32" t="s">
        <v>1467</v>
      </c>
      <c r="AO938" s="38" t="s">
        <v>1468</v>
      </c>
      <c r="AP938" s="35" t="s">
        <v>396</v>
      </c>
    </row>
    <row r="939" spans="1:42" x14ac:dyDescent="0.2">
      <c r="A939" s="40">
        <v>91</v>
      </c>
      <c r="B939" s="40">
        <v>938</v>
      </c>
      <c r="C939" s="40" t="s">
        <v>119</v>
      </c>
      <c r="D939" s="38" t="s">
        <v>128</v>
      </c>
      <c r="E939" s="32" t="s">
        <v>2186</v>
      </c>
      <c r="F939" s="32" t="s">
        <v>29</v>
      </c>
      <c r="G939" s="38" t="s">
        <v>29</v>
      </c>
      <c r="H939" s="32" t="s">
        <v>242</v>
      </c>
      <c r="I939" s="32" t="s">
        <v>120</v>
      </c>
      <c r="J939" s="32" t="s">
        <v>1470</v>
      </c>
      <c r="K939" s="32" t="s">
        <v>1513</v>
      </c>
      <c r="L939" s="32" t="s">
        <v>30</v>
      </c>
      <c r="M939" s="32" t="s">
        <v>30</v>
      </c>
      <c r="N939" s="40">
        <v>2017</v>
      </c>
      <c r="O939" s="32">
        <f>VLOOKUP(Data!N1086, CPI!$A$2:$B$112, 2, 0)</f>
        <v>215.303</v>
      </c>
      <c r="P939" s="32" t="s">
        <v>56</v>
      </c>
      <c r="Q939" s="32" t="s">
        <v>239</v>
      </c>
      <c r="R939" s="32" t="s">
        <v>1469</v>
      </c>
      <c r="S939" s="32">
        <v>11100000</v>
      </c>
      <c r="T939" s="32" t="s">
        <v>1698</v>
      </c>
      <c r="U939" s="32">
        <f>(S939*AE939)/AB939</f>
        <v>3355650.5223171888</v>
      </c>
      <c r="V939" s="32" t="s">
        <v>1487</v>
      </c>
      <c r="W939" s="32">
        <f>VLOOKUP(N939, 'Exchange rate- Vietnam'!$A$2:$B$65, 2, 0)</f>
        <v>22370.086666666699</v>
      </c>
      <c r="X939" s="32">
        <f>U939/W939</f>
        <v>150.00614759876586</v>
      </c>
      <c r="Y939" s="32">
        <f>(CPI!$B$112/O939)*X939</f>
        <v>212.27472692165131</v>
      </c>
      <c r="Z939" s="38" t="s">
        <v>1262</v>
      </c>
      <c r="AA939" s="35" t="s">
        <v>2543</v>
      </c>
      <c r="AB939" s="32">
        <f>2357+802</f>
        <v>3159</v>
      </c>
      <c r="AC939" s="32" t="s">
        <v>1425</v>
      </c>
      <c r="AE939" s="32">
        <f>328+627</f>
        <v>955</v>
      </c>
      <c r="AF939" s="32" t="s">
        <v>1425</v>
      </c>
      <c r="AH939" s="32" t="s">
        <v>411</v>
      </c>
      <c r="AK939" s="40" t="s">
        <v>1471</v>
      </c>
      <c r="AL939" s="32">
        <v>2019</v>
      </c>
      <c r="AM939" s="32" t="s">
        <v>1472</v>
      </c>
      <c r="AN939" s="32" t="s">
        <v>1473</v>
      </c>
      <c r="AO939" s="38" t="s">
        <v>1474</v>
      </c>
      <c r="AP939" s="35" t="s">
        <v>396</v>
      </c>
    </row>
    <row r="940" spans="1:42" x14ac:dyDescent="0.2">
      <c r="A940" s="40">
        <v>92</v>
      </c>
      <c r="B940" s="40">
        <v>939</v>
      </c>
      <c r="C940" s="40" t="s">
        <v>149</v>
      </c>
      <c r="D940" s="54" t="s">
        <v>174</v>
      </c>
      <c r="E940" s="32" t="s">
        <v>2184</v>
      </c>
      <c r="F940" s="32" t="s">
        <v>155</v>
      </c>
      <c r="G940" s="38" t="s">
        <v>28</v>
      </c>
      <c r="H940" s="32" t="s">
        <v>30</v>
      </c>
      <c r="I940" s="32" t="s">
        <v>120</v>
      </c>
      <c r="J940" s="32" t="s">
        <v>1470</v>
      </c>
      <c r="K940" s="32" t="s">
        <v>1513</v>
      </c>
      <c r="L940" s="32" t="s">
        <v>30</v>
      </c>
      <c r="M940" s="32" t="s">
        <v>30</v>
      </c>
      <c r="N940" s="40">
        <v>2017</v>
      </c>
      <c r="O940" s="32">
        <f>VLOOKUP(Data!N1509, CPI!$A$2:$B$112, 2, 0)</f>
        <v>236.73599999999999</v>
      </c>
      <c r="P940" s="32" t="s">
        <v>16</v>
      </c>
      <c r="Q940" s="32" t="s">
        <v>4</v>
      </c>
      <c r="R940" s="32" t="s">
        <v>1477</v>
      </c>
      <c r="S940" s="32">
        <v>320</v>
      </c>
      <c r="T940" s="32" t="s">
        <v>2544</v>
      </c>
      <c r="Z940" s="38" t="s">
        <v>1262</v>
      </c>
      <c r="AA940" s="35" t="s">
        <v>1475</v>
      </c>
      <c r="AB940" s="32" t="s">
        <v>30</v>
      </c>
      <c r="AE940" s="32">
        <v>505</v>
      </c>
      <c r="AH940" s="32" t="s">
        <v>397</v>
      </c>
      <c r="AI940" s="32" t="s">
        <v>2268</v>
      </c>
      <c r="AK940" s="40" t="s">
        <v>1483</v>
      </c>
      <c r="AL940" s="32">
        <v>2020</v>
      </c>
      <c r="AM940" s="32" t="s">
        <v>1484</v>
      </c>
      <c r="AN940" s="32" t="s">
        <v>1485</v>
      </c>
      <c r="AO940" s="38" t="s">
        <v>1486</v>
      </c>
      <c r="AP940" s="35" t="s">
        <v>396</v>
      </c>
    </row>
    <row r="941" spans="1:42" x14ac:dyDescent="0.2">
      <c r="A941" s="40">
        <v>92</v>
      </c>
      <c r="B941" s="40">
        <v>940</v>
      </c>
      <c r="C941" s="40" t="s">
        <v>149</v>
      </c>
      <c r="D941" s="54" t="s">
        <v>174</v>
      </c>
      <c r="E941" s="32" t="s">
        <v>2183</v>
      </c>
      <c r="F941" s="32" t="s">
        <v>237</v>
      </c>
      <c r="G941" s="35" t="s">
        <v>154</v>
      </c>
      <c r="H941" s="32" t="s">
        <v>30</v>
      </c>
      <c r="I941" s="32" t="s">
        <v>120</v>
      </c>
      <c r="J941" s="32" t="s">
        <v>1470</v>
      </c>
      <c r="K941" s="32" t="s">
        <v>1513</v>
      </c>
      <c r="L941" s="32" t="s">
        <v>30</v>
      </c>
      <c r="M941" s="32" t="s">
        <v>30</v>
      </c>
      <c r="N941" s="40">
        <v>2017</v>
      </c>
      <c r="O941" s="32">
        <f>VLOOKUP(Data!N1510, CPI!$A$2:$B$112, 2, 0)</f>
        <v>236.73599999999999</v>
      </c>
      <c r="P941" s="32" t="s">
        <v>16</v>
      </c>
      <c r="Q941" s="32" t="s">
        <v>4</v>
      </c>
      <c r="R941" s="32" t="s">
        <v>1478</v>
      </c>
      <c r="S941" s="32">
        <v>6378</v>
      </c>
      <c r="T941" s="32" t="s">
        <v>2544</v>
      </c>
      <c r="Z941" s="38" t="s">
        <v>1262</v>
      </c>
      <c r="AA941" s="35" t="s">
        <v>1475</v>
      </c>
      <c r="AB941" s="32" t="s">
        <v>30</v>
      </c>
      <c r="AH941" s="32" t="s">
        <v>397</v>
      </c>
      <c r="AI941" s="32" t="s">
        <v>2268</v>
      </c>
      <c r="AK941" s="40" t="s">
        <v>1483</v>
      </c>
      <c r="AL941" s="32">
        <v>2020</v>
      </c>
      <c r="AM941" s="32" t="s">
        <v>1484</v>
      </c>
      <c r="AN941" s="32" t="s">
        <v>1485</v>
      </c>
      <c r="AO941" s="38" t="s">
        <v>1486</v>
      </c>
      <c r="AP941" s="35" t="s">
        <v>396</v>
      </c>
    </row>
    <row r="942" spans="1:42" x14ac:dyDescent="0.2">
      <c r="A942" s="40">
        <v>92</v>
      </c>
      <c r="B942" s="40">
        <v>941</v>
      </c>
      <c r="C942" s="40" t="s">
        <v>149</v>
      </c>
      <c r="D942" s="54" t="s">
        <v>174</v>
      </c>
      <c r="E942" s="32" t="s">
        <v>2887</v>
      </c>
      <c r="F942" s="32" t="s">
        <v>121</v>
      </c>
      <c r="G942" s="38" t="s">
        <v>123</v>
      </c>
      <c r="H942" s="32" t="s">
        <v>30</v>
      </c>
      <c r="I942" s="32" t="s">
        <v>120</v>
      </c>
      <c r="J942" s="32" t="s">
        <v>1470</v>
      </c>
      <c r="K942" s="32" t="s">
        <v>1513</v>
      </c>
      <c r="L942" s="32" t="s">
        <v>30</v>
      </c>
      <c r="M942" s="32" t="s">
        <v>30</v>
      </c>
      <c r="N942" s="40">
        <v>2017</v>
      </c>
      <c r="O942" s="32">
        <f>VLOOKUP(Data!N1511, CPI!$A$2:$B$112, 2, 0)</f>
        <v>236.73599999999999</v>
      </c>
      <c r="P942" s="32" t="s">
        <v>16</v>
      </c>
      <c r="Q942" s="32" t="s">
        <v>4</v>
      </c>
      <c r="R942" s="32" t="s">
        <v>1479</v>
      </c>
      <c r="S942" s="32">
        <v>42</v>
      </c>
      <c r="T942" s="32" t="s">
        <v>2544</v>
      </c>
      <c r="Z942" s="38" t="s">
        <v>1262</v>
      </c>
      <c r="AA942" s="35" t="s">
        <v>1475</v>
      </c>
      <c r="AB942" s="32" t="s">
        <v>30</v>
      </c>
      <c r="AH942" s="32" t="s">
        <v>397</v>
      </c>
      <c r="AI942" s="32" t="s">
        <v>2268</v>
      </c>
      <c r="AK942" s="40" t="s">
        <v>1483</v>
      </c>
      <c r="AL942" s="32">
        <v>2020</v>
      </c>
      <c r="AM942" s="32" t="s">
        <v>1484</v>
      </c>
      <c r="AN942" s="32" t="s">
        <v>1485</v>
      </c>
      <c r="AO942" s="38" t="s">
        <v>1486</v>
      </c>
      <c r="AP942" s="35" t="s">
        <v>396</v>
      </c>
    </row>
    <row r="943" spans="1:42" x14ac:dyDescent="0.2">
      <c r="A943" s="40">
        <v>92</v>
      </c>
      <c r="B943" s="40">
        <v>942</v>
      </c>
      <c r="C943" s="40" t="s">
        <v>149</v>
      </c>
      <c r="D943" s="54" t="s">
        <v>174</v>
      </c>
      <c r="E943" s="32" t="s">
        <v>2184</v>
      </c>
      <c r="F943" s="32" t="s">
        <v>155</v>
      </c>
      <c r="G943" s="38" t="s">
        <v>28</v>
      </c>
      <c r="H943" s="32" t="s">
        <v>30</v>
      </c>
      <c r="I943" s="32" t="s">
        <v>120</v>
      </c>
      <c r="J943" s="32" t="s">
        <v>1470</v>
      </c>
      <c r="K943" s="32" t="s">
        <v>1513</v>
      </c>
      <c r="L943" s="32" t="s">
        <v>30</v>
      </c>
      <c r="M943" s="32" t="s">
        <v>30</v>
      </c>
      <c r="N943" s="40">
        <v>2017</v>
      </c>
      <c r="O943" s="32">
        <f>VLOOKUP(Data!N1512, CPI!$A$2:$B$112, 2, 0)</f>
        <v>236.73599999999999</v>
      </c>
      <c r="P943" s="32" t="s">
        <v>16</v>
      </c>
      <c r="Q943" s="32" t="s">
        <v>4</v>
      </c>
      <c r="R943" s="32" t="s">
        <v>1480</v>
      </c>
      <c r="S943" s="32">
        <v>641</v>
      </c>
      <c r="T943" s="32" t="s">
        <v>2544</v>
      </c>
      <c r="Z943" s="38" t="s">
        <v>1262</v>
      </c>
      <c r="AA943" s="35" t="s">
        <v>1476</v>
      </c>
      <c r="AB943" s="32" t="s">
        <v>30</v>
      </c>
      <c r="AH943" s="32" t="s">
        <v>397</v>
      </c>
      <c r="AI943" s="32" t="s">
        <v>2268</v>
      </c>
      <c r="AK943" s="40" t="s">
        <v>1483</v>
      </c>
      <c r="AL943" s="32">
        <v>2020</v>
      </c>
      <c r="AM943" s="32" t="s">
        <v>1484</v>
      </c>
      <c r="AN943" s="32" t="s">
        <v>1485</v>
      </c>
      <c r="AO943" s="38" t="s">
        <v>1486</v>
      </c>
      <c r="AP943" s="35" t="s">
        <v>396</v>
      </c>
    </row>
    <row r="944" spans="1:42" x14ac:dyDescent="0.2">
      <c r="A944" s="40">
        <v>92</v>
      </c>
      <c r="B944" s="40">
        <v>943</v>
      </c>
      <c r="C944" s="40" t="s">
        <v>149</v>
      </c>
      <c r="D944" s="54" t="s">
        <v>174</v>
      </c>
      <c r="E944" s="32" t="s">
        <v>2183</v>
      </c>
      <c r="F944" s="32" t="s">
        <v>237</v>
      </c>
      <c r="G944" s="38" t="s">
        <v>154</v>
      </c>
      <c r="H944" s="32" t="s">
        <v>30</v>
      </c>
      <c r="I944" s="32" t="s">
        <v>120</v>
      </c>
      <c r="J944" s="32" t="s">
        <v>1470</v>
      </c>
      <c r="K944" s="32" t="s">
        <v>1513</v>
      </c>
      <c r="L944" s="32" t="s">
        <v>30</v>
      </c>
      <c r="M944" s="32" t="s">
        <v>30</v>
      </c>
      <c r="N944" s="40">
        <v>2017</v>
      </c>
      <c r="O944" s="32">
        <f>VLOOKUP(Data!N1513, CPI!$A$2:$B$112, 2, 0)</f>
        <v>236.73599999999999</v>
      </c>
      <c r="P944" s="32" t="s">
        <v>16</v>
      </c>
      <c r="Q944" s="32" t="s">
        <v>4</v>
      </c>
      <c r="R944" s="32" t="s">
        <v>1481</v>
      </c>
      <c r="S944" s="32">
        <v>29.061</v>
      </c>
      <c r="T944" s="32" t="s">
        <v>2544</v>
      </c>
      <c r="Z944" s="38" t="s">
        <v>1262</v>
      </c>
      <c r="AA944" s="35" t="s">
        <v>1476</v>
      </c>
      <c r="AB944" s="32" t="s">
        <v>30</v>
      </c>
      <c r="AH944" s="32" t="s">
        <v>397</v>
      </c>
      <c r="AI944" s="32" t="s">
        <v>2268</v>
      </c>
      <c r="AK944" s="40" t="s">
        <v>1483</v>
      </c>
      <c r="AL944" s="32">
        <v>2020</v>
      </c>
      <c r="AM944" s="32" t="s">
        <v>1484</v>
      </c>
      <c r="AN944" s="32" t="s">
        <v>1485</v>
      </c>
      <c r="AO944" s="38" t="s">
        <v>1486</v>
      </c>
      <c r="AP944" s="35" t="s">
        <v>396</v>
      </c>
    </row>
    <row r="945" spans="1:42" x14ac:dyDescent="0.2">
      <c r="A945" s="40">
        <v>92</v>
      </c>
      <c r="B945" s="40">
        <v>944</v>
      </c>
      <c r="C945" s="40" t="s">
        <v>149</v>
      </c>
      <c r="D945" s="54" t="s">
        <v>174</v>
      </c>
      <c r="E945" s="32" t="s">
        <v>2887</v>
      </c>
      <c r="F945" s="32" t="s">
        <v>121</v>
      </c>
      <c r="G945" s="38" t="s">
        <v>123</v>
      </c>
      <c r="H945" s="32" t="s">
        <v>30</v>
      </c>
      <c r="I945" s="32" t="s">
        <v>120</v>
      </c>
      <c r="J945" s="32" t="s">
        <v>1470</v>
      </c>
      <c r="K945" s="32" t="s">
        <v>1513</v>
      </c>
      <c r="L945" s="32" t="s">
        <v>30</v>
      </c>
      <c r="M945" s="32" t="s">
        <v>30</v>
      </c>
      <c r="N945" s="40">
        <v>2017</v>
      </c>
      <c r="O945" s="32">
        <f>VLOOKUP(Data!N1514, CPI!$A$2:$B$112, 2, 0)</f>
        <v>236.73599999999999</v>
      </c>
      <c r="P945" s="32" t="s">
        <v>16</v>
      </c>
      <c r="Q945" s="32" t="s">
        <v>4</v>
      </c>
      <c r="R945" s="32" t="s">
        <v>1482</v>
      </c>
      <c r="S945" s="32">
        <v>2757</v>
      </c>
      <c r="T945" s="32" t="s">
        <v>2544</v>
      </c>
      <c r="Z945" s="38" t="s">
        <v>1262</v>
      </c>
      <c r="AA945" s="35" t="s">
        <v>1476</v>
      </c>
      <c r="AB945" s="32" t="s">
        <v>30</v>
      </c>
      <c r="AH945" s="32" t="s">
        <v>397</v>
      </c>
      <c r="AI945" s="32" t="s">
        <v>2268</v>
      </c>
      <c r="AK945" s="40" t="s">
        <v>1483</v>
      </c>
      <c r="AL945" s="32">
        <v>2020</v>
      </c>
      <c r="AM945" s="32" t="s">
        <v>1484</v>
      </c>
      <c r="AN945" s="32" t="s">
        <v>1485</v>
      </c>
      <c r="AO945" s="38" t="s">
        <v>1486</v>
      </c>
      <c r="AP945" s="35" t="s">
        <v>396</v>
      </c>
    </row>
    <row r="946" spans="1:42" x14ac:dyDescent="0.2">
      <c r="A946" s="40">
        <v>92</v>
      </c>
      <c r="B946" s="40">
        <v>945</v>
      </c>
      <c r="C946" s="40" t="s">
        <v>149</v>
      </c>
      <c r="D946" s="54" t="s">
        <v>174</v>
      </c>
      <c r="E946" s="32" t="s">
        <v>2184</v>
      </c>
      <c r="F946" s="32" t="s">
        <v>155</v>
      </c>
      <c r="G946" s="38" t="s">
        <v>28</v>
      </c>
      <c r="H946" s="32" t="s">
        <v>30</v>
      </c>
      <c r="I946" s="32" t="s">
        <v>120</v>
      </c>
      <c r="J946" s="32" t="s">
        <v>1470</v>
      </c>
      <c r="K946" s="32" t="s">
        <v>1513</v>
      </c>
      <c r="L946" s="32" t="s">
        <v>30</v>
      </c>
      <c r="M946" s="32" t="s">
        <v>30</v>
      </c>
      <c r="N946" s="40">
        <v>2017</v>
      </c>
      <c r="O946" s="32">
        <f>VLOOKUP(Data!N1515, CPI!$A$2:$B$112, 2, 0)</f>
        <v>236.73599999999999</v>
      </c>
      <c r="P946" s="32" t="s">
        <v>16</v>
      </c>
      <c r="Q946" s="32" t="s">
        <v>4</v>
      </c>
      <c r="R946" s="32" t="s">
        <v>1477</v>
      </c>
      <c r="S946" s="32">
        <v>3928</v>
      </c>
      <c r="T946" s="32" t="s">
        <v>2544</v>
      </c>
      <c r="Z946" s="38" t="s">
        <v>1262</v>
      </c>
      <c r="AA946" s="35" t="s">
        <v>1475</v>
      </c>
      <c r="AB946" s="32" t="s">
        <v>30</v>
      </c>
      <c r="AH946" s="32" t="s">
        <v>397</v>
      </c>
      <c r="AI946" s="32" t="s">
        <v>2268</v>
      </c>
      <c r="AK946" s="40" t="s">
        <v>1483</v>
      </c>
      <c r="AL946" s="32">
        <v>2020</v>
      </c>
      <c r="AM946" s="32" t="s">
        <v>1484</v>
      </c>
      <c r="AN946" s="32" t="s">
        <v>1485</v>
      </c>
      <c r="AO946" s="38" t="s">
        <v>1486</v>
      </c>
      <c r="AP946" s="35" t="s">
        <v>396</v>
      </c>
    </row>
    <row r="947" spans="1:42" x14ac:dyDescent="0.2">
      <c r="A947" s="40">
        <v>92</v>
      </c>
      <c r="B947" s="40">
        <v>946</v>
      </c>
      <c r="C947" s="40" t="s">
        <v>149</v>
      </c>
      <c r="D947" s="54" t="s">
        <v>174</v>
      </c>
      <c r="E947" s="32" t="s">
        <v>2183</v>
      </c>
      <c r="F947" s="32" t="s">
        <v>237</v>
      </c>
      <c r="G947" s="38" t="s">
        <v>154</v>
      </c>
      <c r="H947" s="32" t="s">
        <v>30</v>
      </c>
      <c r="I947" s="32" t="s">
        <v>120</v>
      </c>
      <c r="J947" s="32" t="s">
        <v>1470</v>
      </c>
      <c r="K947" s="32" t="s">
        <v>1513</v>
      </c>
      <c r="L947" s="32" t="s">
        <v>30</v>
      </c>
      <c r="M947" s="32" t="s">
        <v>30</v>
      </c>
      <c r="N947" s="40">
        <v>2017</v>
      </c>
      <c r="O947" s="32">
        <f>VLOOKUP(Data!N1516, CPI!$A$2:$B$112, 2, 0)</f>
        <v>236.73599999999999</v>
      </c>
      <c r="P947" s="32" t="s">
        <v>16</v>
      </c>
      <c r="Q947" s="32" t="s">
        <v>4</v>
      </c>
      <c r="R947" s="32" t="s">
        <v>1478</v>
      </c>
      <c r="S947" s="32">
        <v>45835</v>
      </c>
      <c r="T947" s="32" t="s">
        <v>2544</v>
      </c>
      <c r="Z947" s="38" t="s">
        <v>1262</v>
      </c>
      <c r="AA947" s="35" t="s">
        <v>1475</v>
      </c>
      <c r="AB947" s="32" t="s">
        <v>30</v>
      </c>
      <c r="AH947" s="32" t="s">
        <v>397</v>
      </c>
      <c r="AI947" s="32" t="s">
        <v>2268</v>
      </c>
      <c r="AK947" s="40" t="s">
        <v>1483</v>
      </c>
      <c r="AL947" s="32">
        <v>2020</v>
      </c>
      <c r="AM947" s="32" t="s">
        <v>1484</v>
      </c>
      <c r="AN947" s="32" t="s">
        <v>1485</v>
      </c>
      <c r="AO947" s="38" t="s">
        <v>1486</v>
      </c>
      <c r="AP947" s="35" t="s">
        <v>396</v>
      </c>
    </row>
    <row r="948" spans="1:42" x14ac:dyDescent="0.2">
      <c r="A948" s="40">
        <v>92</v>
      </c>
      <c r="B948" s="40">
        <v>947</v>
      </c>
      <c r="C948" s="40" t="s">
        <v>149</v>
      </c>
      <c r="D948" s="54" t="s">
        <v>174</v>
      </c>
      <c r="E948" s="32" t="s">
        <v>2887</v>
      </c>
      <c r="F948" s="32" t="s">
        <v>121</v>
      </c>
      <c r="G948" s="38" t="s">
        <v>123</v>
      </c>
      <c r="H948" s="32" t="s">
        <v>30</v>
      </c>
      <c r="I948" s="32" t="s">
        <v>120</v>
      </c>
      <c r="J948" s="32" t="s">
        <v>1470</v>
      </c>
      <c r="K948" s="32" t="s">
        <v>1513</v>
      </c>
      <c r="L948" s="32" t="s">
        <v>30</v>
      </c>
      <c r="M948" s="32" t="s">
        <v>30</v>
      </c>
      <c r="N948" s="40">
        <v>2017</v>
      </c>
      <c r="O948" s="32">
        <f>VLOOKUP(Data!N1517, CPI!$A$2:$B$112, 2, 0)</f>
        <v>236.73599999999999</v>
      </c>
      <c r="P948" s="32" t="s">
        <v>16</v>
      </c>
      <c r="Q948" s="32" t="s">
        <v>4</v>
      </c>
      <c r="R948" s="32" t="s">
        <v>1479</v>
      </c>
      <c r="S948" s="32">
        <v>410</v>
      </c>
      <c r="T948" s="32" t="s">
        <v>2544</v>
      </c>
      <c r="Z948" s="38" t="s">
        <v>1262</v>
      </c>
      <c r="AA948" s="35" t="s">
        <v>1475</v>
      </c>
      <c r="AB948" s="32" t="s">
        <v>30</v>
      </c>
      <c r="AH948" s="32" t="s">
        <v>397</v>
      </c>
      <c r="AI948" s="32" t="s">
        <v>2268</v>
      </c>
      <c r="AK948" s="40" t="s">
        <v>1483</v>
      </c>
      <c r="AL948" s="32">
        <v>2020</v>
      </c>
      <c r="AM948" s="32" t="s">
        <v>1484</v>
      </c>
      <c r="AN948" s="32" t="s">
        <v>1485</v>
      </c>
      <c r="AO948" s="38" t="s">
        <v>1486</v>
      </c>
      <c r="AP948" s="35" t="s">
        <v>396</v>
      </c>
    </row>
    <row r="949" spans="1:42" x14ac:dyDescent="0.2">
      <c r="A949" s="40">
        <v>92</v>
      </c>
      <c r="B949" s="40">
        <v>948</v>
      </c>
      <c r="C949" s="40" t="s">
        <v>149</v>
      </c>
      <c r="D949" s="54" t="s">
        <v>174</v>
      </c>
      <c r="E949" s="32" t="s">
        <v>2184</v>
      </c>
      <c r="F949" s="32" t="s">
        <v>155</v>
      </c>
      <c r="G949" s="38" t="s">
        <v>28</v>
      </c>
      <c r="H949" s="32" t="s">
        <v>30</v>
      </c>
      <c r="I949" s="32" t="s">
        <v>120</v>
      </c>
      <c r="J949" s="32" t="s">
        <v>1470</v>
      </c>
      <c r="K949" s="32" t="s">
        <v>1513</v>
      </c>
      <c r="L949" s="32" t="s">
        <v>30</v>
      </c>
      <c r="M949" s="32" t="s">
        <v>30</v>
      </c>
      <c r="N949" s="40">
        <v>2017</v>
      </c>
      <c r="O949" s="32">
        <f>VLOOKUP(Data!N1518, CPI!$A$2:$B$112, 2, 0)</f>
        <v>236.73599999999999</v>
      </c>
      <c r="P949" s="32" t="s">
        <v>16</v>
      </c>
      <c r="Q949" s="32" t="s">
        <v>4</v>
      </c>
      <c r="R949" s="32" t="s">
        <v>1480</v>
      </c>
      <c r="S949" s="32">
        <v>9555</v>
      </c>
      <c r="T949" s="32" t="s">
        <v>2544</v>
      </c>
      <c r="Z949" s="38" t="s">
        <v>1262</v>
      </c>
      <c r="AA949" s="35" t="s">
        <v>1476</v>
      </c>
      <c r="AB949" s="32" t="s">
        <v>30</v>
      </c>
      <c r="AH949" s="32" t="s">
        <v>397</v>
      </c>
      <c r="AI949" s="32" t="s">
        <v>2268</v>
      </c>
      <c r="AK949" s="40" t="s">
        <v>1483</v>
      </c>
      <c r="AL949" s="32">
        <v>2020</v>
      </c>
      <c r="AM949" s="32" t="s">
        <v>1484</v>
      </c>
      <c r="AN949" s="32" t="s">
        <v>1485</v>
      </c>
      <c r="AO949" s="38" t="s">
        <v>1486</v>
      </c>
      <c r="AP949" s="35" t="s">
        <v>396</v>
      </c>
    </row>
    <row r="950" spans="1:42" x14ac:dyDescent="0.2">
      <c r="A950" s="40">
        <v>92</v>
      </c>
      <c r="B950" s="40">
        <v>949</v>
      </c>
      <c r="C950" s="40" t="s">
        <v>149</v>
      </c>
      <c r="D950" s="54" t="s">
        <v>174</v>
      </c>
      <c r="E950" s="32" t="s">
        <v>2183</v>
      </c>
      <c r="F950" s="32" t="s">
        <v>237</v>
      </c>
      <c r="G950" s="38" t="s">
        <v>154</v>
      </c>
      <c r="H950" s="32" t="s">
        <v>30</v>
      </c>
      <c r="I950" s="32" t="s">
        <v>120</v>
      </c>
      <c r="J950" s="32" t="s">
        <v>1470</v>
      </c>
      <c r="K950" s="32" t="s">
        <v>1513</v>
      </c>
      <c r="L950" s="32" t="s">
        <v>30</v>
      </c>
      <c r="M950" s="32" t="s">
        <v>30</v>
      </c>
      <c r="N950" s="40">
        <v>2017</v>
      </c>
      <c r="O950" s="32">
        <f>VLOOKUP(Data!N1519, CPI!$A$2:$B$112, 2, 0)</f>
        <v>236.73599999999999</v>
      </c>
      <c r="P950" s="32" t="s">
        <v>16</v>
      </c>
      <c r="Q950" s="32" t="s">
        <v>4</v>
      </c>
      <c r="R950" s="32" t="s">
        <v>1481</v>
      </c>
      <c r="S950" s="32">
        <v>221293</v>
      </c>
      <c r="T950" s="32" t="s">
        <v>2544</v>
      </c>
      <c r="Z950" s="38" t="s">
        <v>1262</v>
      </c>
      <c r="AA950" s="35" t="s">
        <v>1476</v>
      </c>
      <c r="AB950" s="32" t="s">
        <v>30</v>
      </c>
      <c r="AH950" s="32" t="s">
        <v>397</v>
      </c>
      <c r="AI950" s="32" t="s">
        <v>2268</v>
      </c>
      <c r="AK950" s="40" t="s">
        <v>1483</v>
      </c>
      <c r="AL950" s="32">
        <v>2020</v>
      </c>
      <c r="AM950" s="32" t="s">
        <v>1484</v>
      </c>
      <c r="AN950" s="32" t="s">
        <v>1485</v>
      </c>
      <c r="AO950" s="38" t="s">
        <v>1486</v>
      </c>
      <c r="AP950" s="35" t="s">
        <v>396</v>
      </c>
    </row>
    <row r="951" spans="1:42" x14ac:dyDescent="0.2">
      <c r="A951" s="40">
        <v>92</v>
      </c>
      <c r="B951" s="40">
        <v>950</v>
      </c>
      <c r="C951" s="40" t="s">
        <v>149</v>
      </c>
      <c r="D951" s="54" t="s">
        <v>174</v>
      </c>
      <c r="E951" s="32" t="s">
        <v>2887</v>
      </c>
      <c r="F951" s="32" t="s">
        <v>121</v>
      </c>
      <c r="G951" s="38" t="s">
        <v>123</v>
      </c>
      <c r="H951" s="32" t="s">
        <v>30</v>
      </c>
      <c r="I951" s="32" t="s">
        <v>120</v>
      </c>
      <c r="J951" s="32" t="s">
        <v>1470</v>
      </c>
      <c r="K951" s="32" t="s">
        <v>1513</v>
      </c>
      <c r="L951" s="32" t="s">
        <v>30</v>
      </c>
      <c r="M951" s="32" t="s">
        <v>30</v>
      </c>
      <c r="N951" s="40">
        <v>2017</v>
      </c>
      <c r="O951" s="32">
        <f>VLOOKUP(Data!N1520, CPI!$A$2:$B$112, 2, 0)</f>
        <v>236.73599999999999</v>
      </c>
      <c r="P951" s="32" t="s">
        <v>16</v>
      </c>
      <c r="Q951" s="32" t="s">
        <v>4</v>
      </c>
      <c r="R951" s="32" t="s">
        <v>1482</v>
      </c>
      <c r="S951" s="32">
        <v>17788</v>
      </c>
      <c r="T951" s="32" t="s">
        <v>2544</v>
      </c>
      <c r="Z951" s="38" t="s">
        <v>1262</v>
      </c>
      <c r="AA951" s="35" t="s">
        <v>1476</v>
      </c>
      <c r="AB951" s="32" t="s">
        <v>30</v>
      </c>
      <c r="AH951" s="32" t="s">
        <v>397</v>
      </c>
      <c r="AI951" s="32" t="s">
        <v>2268</v>
      </c>
      <c r="AK951" s="40" t="s">
        <v>1483</v>
      </c>
      <c r="AL951" s="32">
        <v>2020</v>
      </c>
      <c r="AM951" s="32" t="s">
        <v>1484</v>
      </c>
      <c r="AN951" s="32" t="s">
        <v>1485</v>
      </c>
      <c r="AO951" s="38" t="s">
        <v>1486</v>
      </c>
      <c r="AP951" s="35" t="s">
        <v>396</v>
      </c>
    </row>
    <row r="952" spans="1:42" x14ac:dyDescent="0.2">
      <c r="A952" s="40">
        <v>93</v>
      </c>
      <c r="B952" s="40">
        <v>951</v>
      </c>
      <c r="C952" s="40" t="s">
        <v>119</v>
      </c>
      <c r="D952" s="38" t="s">
        <v>128</v>
      </c>
      <c r="E952" s="32" t="s">
        <v>2186</v>
      </c>
      <c r="F952" s="32" t="s">
        <v>29</v>
      </c>
      <c r="G952" s="38" t="s">
        <v>29</v>
      </c>
      <c r="H952" s="32" t="s">
        <v>30</v>
      </c>
      <c r="I952" s="32" t="s">
        <v>120</v>
      </c>
      <c r="J952" s="32" t="s">
        <v>1492</v>
      </c>
      <c r="K952" s="32" t="s">
        <v>1513</v>
      </c>
      <c r="L952" s="32" t="s">
        <v>30</v>
      </c>
      <c r="M952" s="32" t="s">
        <v>30</v>
      </c>
      <c r="N952" s="40">
        <v>2020</v>
      </c>
      <c r="O952" s="32">
        <f>VLOOKUP(Data!N711, CPI!$A$2:$B$112, 2, 0)</f>
        <v>179.9</v>
      </c>
      <c r="P952" s="32" t="s">
        <v>56</v>
      </c>
      <c r="Q952" s="32" t="s">
        <v>239</v>
      </c>
      <c r="R952" s="32" t="s">
        <v>2547</v>
      </c>
      <c r="S952" s="32">
        <v>14.07</v>
      </c>
      <c r="T952" s="32" t="s">
        <v>316</v>
      </c>
      <c r="U952" s="32">
        <v>14.07</v>
      </c>
      <c r="V952" s="32" t="s">
        <v>316</v>
      </c>
      <c r="X952" s="32">
        <f>U952</f>
        <v>14.07</v>
      </c>
      <c r="Y952" s="32">
        <f>(CPI!$B$112/O952)*X952</f>
        <v>23.828804182879377</v>
      </c>
      <c r="Z952" s="38" t="s">
        <v>262</v>
      </c>
      <c r="AA952" s="35" t="s">
        <v>1497</v>
      </c>
      <c r="AB952" s="32" t="s">
        <v>30</v>
      </c>
      <c r="AH952" s="32" t="s">
        <v>411</v>
      </c>
      <c r="AK952" s="40" t="s">
        <v>1498</v>
      </c>
      <c r="AL952" s="32">
        <v>2020</v>
      </c>
      <c r="AM952" s="32" t="s">
        <v>1499</v>
      </c>
      <c r="AN952" s="32" t="s">
        <v>1500</v>
      </c>
      <c r="AP952" s="35" t="s">
        <v>396</v>
      </c>
    </row>
    <row r="953" spans="1:42" x14ac:dyDescent="0.2">
      <c r="A953" s="40">
        <v>93</v>
      </c>
      <c r="B953" s="40">
        <v>952</v>
      </c>
      <c r="C953" s="40" t="s">
        <v>119</v>
      </c>
      <c r="D953" s="38" t="s">
        <v>128</v>
      </c>
      <c r="E953" s="32" t="s">
        <v>2186</v>
      </c>
      <c r="F953" s="32" t="s">
        <v>29</v>
      </c>
      <c r="G953" s="38" t="s">
        <v>29</v>
      </c>
      <c r="H953" s="32" t="s">
        <v>30</v>
      </c>
      <c r="I953" s="32" t="s">
        <v>120</v>
      </c>
      <c r="J953" s="32" t="s">
        <v>2548</v>
      </c>
      <c r="K953" s="32" t="s">
        <v>1513</v>
      </c>
      <c r="L953" s="32" t="s">
        <v>30</v>
      </c>
      <c r="M953" s="32" t="s">
        <v>30</v>
      </c>
      <c r="N953" s="40">
        <v>2020</v>
      </c>
      <c r="O953" s="32">
        <f>VLOOKUP(Data!N712, CPI!$A$2:$B$112, 2, 0)</f>
        <v>195.3</v>
      </c>
      <c r="P953" s="32" t="s">
        <v>56</v>
      </c>
      <c r="Q953" s="32" t="s">
        <v>239</v>
      </c>
      <c r="R953" s="32" t="s">
        <v>2549</v>
      </c>
      <c r="S953" s="32">
        <v>1207488.4099999999</v>
      </c>
      <c r="T953" s="32" t="s">
        <v>300</v>
      </c>
      <c r="U953" s="32">
        <f>S953/AB953</f>
        <v>16.43726302718348</v>
      </c>
      <c r="V953" s="32" t="s">
        <v>316</v>
      </c>
      <c r="X953" s="32">
        <f>U953</f>
        <v>16.43726302718348</v>
      </c>
      <c r="Y953" s="32">
        <f>(CPI!$B$112/O953)*X953</f>
        <v>25.642866758921784</v>
      </c>
      <c r="Z953" s="38" t="s">
        <v>262</v>
      </c>
      <c r="AA953" s="35" t="s">
        <v>1447</v>
      </c>
      <c r="AB953" s="32">
        <v>73460.429999999993</v>
      </c>
      <c r="AC953" s="32" t="s">
        <v>1447</v>
      </c>
      <c r="AH953" s="32" t="s">
        <v>411</v>
      </c>
      <c r="AJ953" s="35" t="s">
        <v>2278</v>
      </c>
      <c r="AK953" s="40" t="s">
        <v>1498</v>
      </c>
      <c r="AL953" s="32">
        <v>2020</v>
      </c>
      <c r="AM953" s="32" t="s">
        <v>1499</v>
      </c>
      <c r="AN953" s="32" t="s">
        <v>1500</v>
      </c>
      <c r="AP953" s="35" t="s">
        <v>396</v>
      </c>
    </row>
    <row r="954" spans="1:42" x14ac:dyDescent="0.2">
      <c r="A954" s="40">
        <v>93</v>
      </c>
      <c r="B954" s="40">
        <v>953</v>
      </c>
      <c r="C954" s="40" t="s">
        <v>119</v>
      </c>
      <c r="D954" s="38" t="s">
        <v>128</v>
      </c>
      <c r="E954" s="32" t="s">
        <v>2186</v>
      </c>
      <c r="F954" s="32" t="s">
        <v>29</v>
      </c>
      <c r="G954" s="35" t="s">
        <v>29</v>
      </c>
      <c r="H954" s="32" t="s">
        <v>30</v>
      </c>
      <c r="I954" s="32" t="s">
        <v>120</v>
      </c>
      <c r="J954" s="32" t="s">
        <v>1493</v>
      </c>
      <c r="K954" s="32" t="s">
        <v>1513</v>
      </c>
      <c r="L954" s="32" t="s">
        <v>30</v>
      </c>
      <c r="M954" s="32" t="s">
        <v>30</v>
      </c>
      <c r="N954" s="40">
        <v>2020</v>
      </c>
      <c r="O954" s="32">
        <f>VLOOKUP(Data!N713, CPI!$A$2:$B$112, 2, 0)</f>
        <v>195.3</v>
      </c>
      <c r="P954" s="32" t="s">
        <v>56</v>
      </c>
      <c r="Q954" s="32" t="s">
        <v>239</v>
      </c>
      <c r="R954" s="32" t="s">
        <v>1495</v>
      </c>
      <c r="S954" s="32">
        <v>1965954.75</v>
      </c>
      <c r="T954" s="32" t="s">
        <v>300</v>
      </c>
      <c r="U954" s="32">
        <f>S954/AB954</f>
        <v>14.070365110760514</v>
      </c>
      <c r="V954" s="32" t="s">
        <v>316</v>
      </c>
      <c r="X954" s="32">
        <f>U954</f>
        <v>14.070365110760514</v>
      </c>
      <c r="Y954" s="32">
        <f>(CPI!$B$112/O954)*X954</f>
        <v>21.950399965488497</v>
      </c>
      <c r="Z954" s="38" t="s">
        <v>262</v>
      </c>
      <c r="AA954" s="35" t="s">
        <v>1446</v>
      </c>
      <c r="AB954" s="32">
        <v>139723.07999999999</v>
      </c>
      <c r="AC954" s="32" t="s">
        <v>1447</v>
      </c>
      <c r="AH954" s="32" t="s">
        <v>411</v>
      </c>
      <c r="AJ954" s="35" t="s">
        <v>2278</v>
      </c>
      <c r="AK954" s="40" t="s">
        <v>1498</v>
      </c>
      <c r="AL954" s="32">
        <v>2020</v>
      </c>
      <c r="AM954" s="32" t="s">
        <v>1499</v>
      </c>
      <c r="AN954" s="32" t="s">
        <v>1500</v>
      </c>
      <c r="AP954" s="35" t="s">
        <v>396</v>
      </c>
    </row>
    <row r="955" spans="1:42" x14ac:dyDescent="0.2">
      <c r="A955" s="40">
        <v>93</v>
      </c>
      <c r="B955" s="40">
        <v>954</v>
      </c>
      <c r="C955" s="40" t="s">
        <v>119</v>
      </c>
      <c r="D955" s="38" t="s">
        <v>128</v>
      </c>
      <c r="E955" s="32" t="s">
        <v>2186</v>
      </c>
      <c r="F955" s="32" t="s">
        <v>29</v>
      </c>
      <c r="G955" s="38" t="s">
        <v>29</v>
      </c>
      <c r="H955" s="32" t="s">
        <v>30</v>
      </c>
      <c r="I955" s="32" t="s">
        <v>120</v>
      </c>
      <c r="J955" s="32" t="s">
        <v>2546</v>
      </c>
      <c r="K955" s="32" t="s">
        <v>1513</v>
      </c>
      <c r="L955" s="32" t="s">
        <v>30</v>
      </c>
      <c r="M955" s="32" t="s">
        <v>30</v>
      </c>
      <c r="N955" s="40">
        <v>2020</v>
      </c>
      <c r="O955" s="32">
        <f>VLOOKUP(Data!N1059, CPI!$A$2:$B$112, 2, 0)</f>
        <v>229.59399999999999</v>
      </c>
      <c r="P955" s="32" t="s">
        <v>30</v>
      </c>
      <c r="Q955" s="32" t="s">
        <v>172</v>
      </c>
      <c r="R955" s="32" t="s">
        <v>2545</v>
      </c>
      <c r="S955" s="32">
        <v>4961000</v>
      </c>
      <c r="T955" s="32" t="s">
        <v>1305</v>
      </c>
      <c r="U955" s="32">
        <v>4961000</v>
      </c>
      <c r="V955" s="32" t="s">
        <v>2524</v>
      </c>
      <c r="W955" s="32">
        <f>VLOOKUP(N955, 'Exchange rate- Vietnam'!$A$2:$B$65, 2, 0)</f>
        <v>23208.368333333299</v>
      </c>
      <c r="X955" s="32">
        <f>U955/W955</f>
        <v>213.75910312810331</v>
      </c>
      <c r="Y955" s="32">
        <f>(CPI!$B$112/O955)*X955</f>
        <v>283.66346169318604</v>
      </c>
      <c r="Z955" s="38" t="s">
        <v>1262</v>
      </c>
      <c r="AA955" s="35" t="s">
        <v>1494</v>
      </c>
      <c r="AB955" s="32" t="s">
        <v>30</v>
      </c>
      <c r="AH955" s="32" t="s">
        <v>411</v>
      </c>
      <c r="AK955" s="40" t="s">
        <v>1498</v>
      </c>
      <c r="AL955" s="32">
        <v>2020</v>
      </c>
      <c r="AM955" s="32" t="s">
        <v>1499</v>
      </c>
      <c r="AN955" s="32" t="s">
        <v>1500</v>
      </c>
      <c r="AP955" s="35" t="s">
        <v>396</v>
      </c>
    </row>
    <row r="956" spans="1:42" x14ac:dyDescent="0.2">
      <c r="A956" s="40">
        <v>93</v>
      </c>
      <c r="B956" s="40">
        <v>955</v>
      </c>
      <c r="C956" s="40" t="s">
        <v>119</v>
      </c>
      <c r="D956" s="38" t="s">
        <v>128</v>
      </c>
      <c r="E956" s="32" t="s">
        <v>2186</v>
      </c>
      <c r="F956" s="32" t="s">
        <v>29</v>
      </c>
      <c r="G956" s="38" t="s">
        <v>29</v>
      </c>
      <c r="H956" s="32" t="s">
        <v>242</v>
      </c>
      <c r="I956" s="32" t="s">
        <v>120</v>
      </c>
      <c r="J956" s="32" t="s">
        <v>1493</v>
      </c>
      <c r="K956" s="32" t="s">
        <v>1513</v>
      </c>
      <c r="L956" s="32" t="s">
        <v>30</v>
      </c>
      <c r="M956" s="32" t="s">
        <v>30</v>
      </c>
      <c r="N956" s="40">
        <v>2020</v>
      </c>
      <c r="O956" s="32">
        <f>VLOOKUP(Data!N1087, CPI!$A$2:$B$112, 2, 0)</f>
        <v>215.303</v>
      </c>
      <c r="P956" s="32" t="s">
        <v>56</v>
      </c>
      <c r="Q956" s="32" t="s">
        <v>239</v>
      </c>
      <c r="R956" s="32" t="s">
        <v>1488</v>
      </c>
      <c r="S956" s="32">
        <v>287621.34000000003</v>
      </c>
      <c r="T956" s="32" t="s">
        <v>1487</v>
      </c>
      <c r="U956" s="32">
        <v>287621.34000000003</v>
      </c>
      <c r="V956" s="32" t="s">
        <v>1487</v>
      </c>
      <c r="W956" s="32">
        <f>VLOOKUP(N956, 'Exchange rate- Vietnam'!$A$2:$B$65, 2, 0)</f>
        <v>23208.368333333299</v>
      </c>
      <c r="X956" s="32">
        <f>U956/W956</f>
        <v>12.393001346281652</v>
      </c>
      <c r="Y956" s="32">
        <f>(CPI!$B$112/O956)*X956</f>
        <v>17.537421089955636</v>
      </c>
      <c r="Z956" s="38" t="s">
        <v>1262</v>
      </c>
      <c r="AA956" s="35" t="s">
        <v>1494</v>
      </c>
      <c r="AB956" s="32" t="s">
        <v>30</v>
      </c>
      <c r="AH956" s="32" t="s">
        <v>411</v>
      </c>
      <c r="AK956" s="40" t="s">
        <v>1498</v>
      </c>
      <c r="AL956" s="32">
        <v>2020</v>
      </c>
      <c r="AM956" s="32" t="s">
        <v>1499</v>
      </c>
      <c r="AN956" s="32" t="s">
        <v>1500</v>
      </c>
      <c r="AP956" s="35" t="s">
        <v>396</v>
      </c>
    </row>
    <row r="957" spans="1:42" x14ac:dyDescent="0.2">
      <c r="A957" s="40">
        <v>93</v>
      </c>
      <c r="B957" s="40">
        <v>956</v>
      </c>
      <c r="C957" s="40" t="s">
        <v>119</v>
      </c>
      <c r="D957" s="38" t="s">
        <v>128</v>
      </c>
      <c r="E957" s="32" t="s">
        <v>2186</v>
      </c>
      <c r="F957" s="32" t="s">
        <v>29</v>
      </c>
      <c r="G957" s="38" t="s">
        <v>29</v>
      </c>
      <c r="H957" s="32" t="s">
        <v>30</v>
      </c>
      <c r="I957" s="32" t="s">
        <v>120</v>
      </c>
      <c r="J957" s="32" t="s">
        <v>1493</v>
      </c>
      <c r="K957" s="32" t="s">
        <v>1513</v>
      </c>
      <c r="L957" s="32" t="s">
        <v>30</v>
      </c>
      <c r="M957" s="32" t="s">
        <v>30</v>
      </c>
      <c r="N957" s="40">
        <v>2020</v>
      </c>
      <c r="O957" s="32">
        <f>VLOOKUP(Data!N1088, CPI!$A$2:$B$112, 2, 0)</f>
        <v>215.303</v>
      </c>
      <c r="P957" s="32" t="s">
        <v>56</v>
      </c>
      <c r="Q957" s="32" t="s">
        <v>239</v>
      </c>
      <c r="R957" s="32" t="s">
        <v>1489</v>
      </c>
      <c r="S957" s="32">
        <v>197000</v>
      </c>
      <c r="T957" s="32" t="s">
        <v>1487</v>
      </c>
      <c r="U957" s="32">
        <v>197000</v>
      </c>
      <c r="V957" s="32" t="s">
        <v>1487</v>
      </c>
      <c r="W957" s="32">
        <f>VLOOKUP(N957, 'Exchange rate- Vietnam'!$A$2:$B$65, 2, 0)</f>
        <v>23208.368333333299</v>
      </c>
      <c r="X957" s="32">
        <f>U957/W957</f>
        <v>8.4883175400597359</v>
      </c>
      <c r="Y957" s="32">
        <f>(CPI!$B$112/O957)*X957</f>
        <v>12.011876290963876</v>
      </c>
      <c r="Z957" s="38" t="s">
        <v>1262</v>
      </c>
      <c r="AA957" s="35" t="s">
        <v>1494</v>
      </c>
      <c r="AB957" s="32" t="s">
        <v>30</v>
      </c>
      <c r="AH957" s="32" t="s">
        <v>411</v>
      </c>
      <c r="AK957" s="40" t="s">
        <v>1498</v>
      </c>
      <c r="AL957" s="32">
        <v>2020</v>
      </c>
      <c r="AM957" s="32" t="s">
        <v>1499</v>
      </c>
      <c r="AN957" s="32" t="s">
        <v>1500</v>
      </c>
      <c r="AP957" s="35" t="s">
        <v>396</v>
      </c>
    </row>
    <row r="958" spans="1:42" x14ac:dyDescent="0.2">
      <c r="A958" s="40">
        <v>93</v>
      </c>
      <c r="B958" s="40">
        <v>957</v>
      </c>
      <c r="C958" s="40" t="s">
        <v>119</v>
      </c>
      <c r="D958" s="38" t="s">
        <v>128</v>
      </c>
      <c r="E958" s="32" t="s">
        <v>2184</v>
      </c>
      <c r="F958" s="32" t="s">
        <v>131</v>
      </c>
      <c r="G958" s="35" t="s">
        <v>133</v>
      </c>
      <c r="H958" s="32" t="s">
        <v>30</v>
      </c>
      <c r="I958" s="32" t="s">
        <v>120</v>
      </c>
      <c r="J958" s="32" t="s">
        <v>1491</v>
      </c>
      <c r="K958" s="32" t="s">
        <v>1513</v>
      </c>
      <c r="L958" s="32" t="s">
        <v>30</v>
      </c>
      <c r="M958" s="32" t="s">
        <v>30</v>
      </c>
      <c r="N958" s="40">
        <v>2020</v>
      </c>
      <c r="O958" s="32">
        <f>VLOOKUP(Data!N1521, CPI!$A$2:$B$112, 2, 0)</f>
        <v>236.73599999999999</v>
      </c>
      <c r="P958" s="32" t="s">
        <v>238</v>
      </c>
      <c r="Q958" s="32" t="s">
        <v>172</v>
      </c>
      <c r="R958" s="32" t="s">
        <v>1490</v>
      </c>
      <c r="S958" s="32">
        <v>14064927.800000001</v>
      </c>
      <c r="T958" s="32" t="s">
        <v>608</v>
      </c>
      <c r="Z958" s="38" t="s">
        <v>262</v>
      </c>
      <c r="AA958" s="35" t="s">
        <v>1496</v>
      </c>
      <c r="AB958" s="32" t="s">
        <v>30</v>
      </c>
      <c r="AH958" s="32" t="s">
        <v>411</v>
      </c>
      <c r="AK958" s="40" t="s">
        <v>1498</v>
      </c>
      <c r="AL958" s="32">
        <v>2020</v>
      </c>
      <c r="AM958" s="32" t="s">
        <v>1499</v>
      </c>
      <c r="AN958" s="32" t="s">
        <v>1500</v>
      </c>
      <c r="AP958" s="35" t="s">
        <v>396</v>
      </c>
    </row>
    <row r="959" spans="1:42" x14ac:dyDescent="0.2">
      <c r="A959" s="40">
        <v>94</v>
      </c>
      <c r="B959" s="40">
        <v>958</v>
      </c>
      <c r="C959" s="40" t="s">
        <v>114</v>
      </c>
      <c r="D959" s="38" t="s">
        <v>218</v>
      </c>
      <c r="E959" s="32" t="s">
        <v>2186</v>
      </c>
      <c r="F959" s="32" t="s">
        <v>29</v>
      </c>
      <c r="G959" s="38" t="s">
        <v>29</v>
      </c>
      <c r="H959" s="32" t="s">
        <v>242</v>
      </c>
      <c r="I959" s="32" t="s">
        <v>61</v>
      </c>
      <c r="J959" s="32" t="s">
        <v>1501</v>
      </c>
      <c r="K959" s="32" t="s">
        <v>1513</v>
      </c>
      <c r="L959" s="32" t="s">
        <v>30</v>
      </c>
      <c r="M959" s="32" t="s">
        <v>30</v>
      </c>
      <c r="N959" s="40">
        <v>2010</v>
      </c>
      <c r="O959" s="32">
        <f>VLOOKUP(Data!N714, CPI!$A$2:$B$112, 2, 0)</f>
        <v>195.3</v>
      </c>
      <c r="P959" s="32" t="s">
        <v>56</v>
      </c>
      <c r="Q959" s="32" t="s">
        <v>239</v>
      </c>
      <c r="R959" s="32" t="s">
        <v>2550</v>
      </c>
      <c r="S959" s="32">
        <v>2.7</v>
      </c>
      <c r="T959" s="32" t="s">
        <v>316</v>
      </c>
      <c r="U959" s="32">
        <v>2.7</v>
      </c>
      <c r="V959" s="32" t="s">
        <v>316</v>
      </c>
      <c r="X959" s="32">
        <f>U959</f>
        <v>2.7</v>
      </c>
      <c r="Y959" s="32">
        <f>(CPI!$B$112/O959)*X959</f>
        <v>4.212120967741936</v>
      </c>
      <c r="Z959" s="38" t="s">
        <v>262</v>
      </c>
      <c r="AA959" s="35" t="s">
        <v>1448</v>
      </c>
      <c r="AB959" s="32">
        <v>164850</v>
      </c>
      <c r="AC959" s="32" t="s">
        <v>1412</v>
      </c>
      <c r="AH959" s="32" t="s">
        <v>411</v>
      </c>
      <c r="AK959" s="40" t="s">
        <v>1502</v>
      </c>
      <c r="AL959" s="32">
        <v>2013</v>
      </c>
      <c r="AM959" s="32" t="s">
        <v>1503</v>
      </c>
      <c r="AN959" s="32" t="s">
        <v>1504</v>
      </c>
      <c r="AO959" s="38" t="s">
        <v>1505</v>
      </c>
      <c r="AP959" s="35" t="s">
        <v>396</v>
      </c>
    </row>
    <row r="960" spans="1:42" x14ac:dyDescent="0.2">
      <c r="A960" s="40">
        <v>94</v>
      </c>
      <c r="B960" s="40">
        <v>959</v>
      </c>
      <c r="C960" s="40" t="s">
        <v>114</v>
      </c>
      <c r="D960" s="38" t="s">
        <v>218</v>
      </c>
      <c r="E960" s="32" t="s">
        <v>2186</v>
      </c>
      <c r="F960" s="32" t="s">
        <v>29</v>
      </c>
      <c r="G960" s="38" t="s">
        <v>29</v>
      </c>
      <c r="H960" s="32" t="s">
        <v>242</v>
      </c>
      <c r="I960" s="32" t="s">
        <v>243</v>
      </c>
      <c r="J960" s="32" t="s">
        <v>1506</v>
      </c>
      <c r="K960" s="32" t="s">
        <v>1513</v>
      </c>
      <c r="L960" s="32" t="s">
        <v>30</v>
      </c>
      <c r="M960" s="32" t="s">
        <v>30</v>
      </c>
      <c r="N960" s="40">
        <v>2010</v>
      </c>
      <c r="O960" s="32">
        <f>VLOOKUP(Data!N715, CPI!$A$2:$B$112, 2, 0)</f>
        <v>195.3</v>
      </c>
      <c r="P960" s="32" t="s">
        <v>56</v>
      </c>
      <c r="Q960" s="32" t="s">
        <v>239</v>
      </c>
      <c r="R960" s="32" t="s">
        <v>1507</v>
      </c>
      <c r="S960" s="32">
        <v>600000</v>
      </c>
      <c r="T960" s="32" t="s">
        <v>300</v>
      </c>
      <c r="U960" s="32">
        <f>S960/AB960</f>
        <v>4.7711820603554527</v>
      </c>
      <c r="V960" s="32" t="s">
        <v>316</v>
      </c>
      <c r="X960" s="32">
        <f>U960</f>
        <v>4.7711820603554527</v>
      </c>
      <c r="Y960" s="32">
        <f>(CPI!$B$112/O960)*X960</f>
        <v>7.4432577767916186</v>
      </c>
      <c r="Z960" s="38" t="s">
        <v>262</v>
      </c>
      <c r="AA960" s="35" t="s">
        <v>1508</v>
      </c>
      <c r="AB960" s="32">
        <v>125755</v>
      </c>
      <c r="AH960" s="32" t="s">
        <v>411</v>
      </c>
      <c r="AK960" s="40" t="s">
        <v>1502</v>
      </c>
      <c r="AL960" s="32">
        <v>2013</v>
      </c>
      <c r="AM960" s="32" t="s">
        <v>1503</v>
      </c>
      <c r="AN960" s="32" t="s">
        <v>1504</v>
      </c>
      <c r="AO960" s="38" t="s">
        <v>1505</v>
      </c>
      <c r="AP960" s="35" t="s">
        <v>396</v>
      </c>
    </row>
    <row r="961" spans="1:42" x14ac:dyDescent="0.2">
      <c r="A961" s="40">
        <v>95</v>
      </c>
      <c r="B961" s="40">
        <v>960</v>
      </c>
      <c r="C961" s="40" t="s">
        <v>39</v>
      </c>
      <c r="D961" s="38" t="s">
        <v>38</v>
      </c>
      <c r="E961" s="32" t="s">
        <v>2183</v>
      </c>
      <c r="F961" s="32" t="s">
        <v>237</v>
      </c>
      <c r="G961" s="38" t="s">
        <v>1923</v>
      </c>
      <c r="H961" s="32" t="s">
        <v>151</v>
      </c>
      <c r="I961" s="32" t="s">
        <v>243</v>
      </c>
      <c r="J961" s="32" t="s">
        <v>1509</v>
      </c>
      <c r="K961" s="32" t="s">
        <v>1513</v>
      </c>
      <c r="L961" s="32" t="s">
        <v>30</v>
      </c>
      <c r="M961" s="32" t="s">
        <v>30</v>
      </c>
      <c r="N961" s="40">
        <v>2007</v>
      </c>
      <c r="O961" s="32">
        <f>VLOOKUP(Data!N1089, CPI!$A$2:$B$112, 2, 0)</f>
        <v>215.303</v>
      </c>
      <c r="P961" s="32" t="s">
        <v>238</v>
      </c>
      <c r="Q961" s="32" t="s">
        <v>239</v>
      </c>
      <c r="R961" s="32" t="s">
        <v>1511</v>
      </c>
      <c r="S961" s="32">
        <v>59800000</v>
      </c>
      <c r="T961" s="32" t="s">
        <v>1487</v>
      </c>
      <c r="U961" s="32">
        <v>59800000</v>
      </c>
      <c r="V961" s="32" t="s">
        <v>1487</v>
      </c>
      <c r="W961" s="32">
        <f>VLOOKUP(N961, 'Exchange rate- Vietnam'!$A$2:$B$65, 2, 0)</f>
        <v>16105.125</v>
      </c>
      <c r="X961" s="32">
        <f t="shared" ref="X961:X966" si="56">U961/W961</f>
        <v>3713.1037480305181</v>
      </c>
      <c r="Y961" s="32">
        <f>(CPI!$B$112/O961)*X961</f>
        <v>5254.4385464334318</v>
      </c>
      <c r="Z961" s="38" t="s">
        <v>1262</v>
      </c>
      <c r="AA961" s="35" t="s">
        <v>1446</v>
      </c>
      <c r="AB961" s="32" t="s">
        <v>30</v>
      </c>
      <c r="AH961" s="32" t="s">
        <v>411</v>
      </c>
      <c r="AK961" s="40" t="s">
        <v>2552</v>
      </c>
      <c r="AL961" s="32">
        <v>2009</v>
      </c>
      <c r="AM961" s="32" t="s">
        <v>2553</v>
      </c>
      <c r="AN961" s="32" t="s">
        <v>2554</v>
      </c>
      <c r="AO961" s="38" t="s">
        <v>2555</v>
      </c>
      <c r="AP961" s="35" t="s">
        <v>396</v>
      </c>
    </row>
    <row r="962" spans="1:42" x14ac:dyDescent="0.2">
      <c r="A962" s="40">
        <v>95</v>
      </c>
      <c r="B962" s="40">
        <v>961</v>
      </c>
      <c r="C962" s="40" t="s">
        <v>39</v>
      </c>
      <c r="D962" s="38" t="s">
        <v>38</v>
      </c>
      <c r="E962" s="32" t="s">
        <v>2183</v>
      </c>
      <c r="F962" s="32" t="s">
        <v>237</v>
      </c>
      <c r="G962" s="38" t="s">
        <v>1923</v>
      </c>
      <c r="H962" s="32" t="s">
        <v>151</v>
      </c>
      <c r="I962" s="32" t="s">
        <v>243</v>
      </c>
      <c r="J962" s="32" t="s">
        <v>1510</v>
      </c>
      <c r="K962" s="32" t="s">
        <v>1513</v>
      </c>
      <c r="L962" s="32" t="s">
        <v>30</v>
      </c>
      <c r="M962" s="32" t="s">
        <v>30</v>
      </c>
      <c r="N962" s="40">
        <v>2007</v>
      </c>
      <c r="O962" s="32">
        <f>VLOOKUP(Data!N1090, CPI!$A$2:$B$112, 2, 0)</f>
        <v>215.303</v>
      </c>
      <c r="P962" s="32" t="s">
        <v>238</v>
      </c>
      <c r="Q962" s="32" t="s">
        <v>239</v>
      </c>
      <c r="R962" s="32" t="s">
        <v>1511</v>
      </c>
      <c r="S962" s="32">
        <v>57700000</v>
      </c>
      <c r="T962" s="32" t="s">
        <v>1487</v>
      </c>
      <c r="U962" s="32">
        <v>57700000</v>
      </c>
      <c r="V962" s="32" t="s">
        <v>1487</v>
      </c>
      <c r="W962" s="32">
        <f>VLOOKUP(N962, 'Exchange rate- Vietnam'!$A$2:$B$65, 2, 0)</f>
        <v>16105.125</v>
      </c>
      <c r="X962" s="32">
        <f t="shared" si="56"/>
        <v>3582.7104725980084</v>
      </c>
      <c r="Y962" s="32">
        <f>(CPI!$B$112/O962)*X962</f>
        <v>5069.9181292509875</v>
      </c>
      <c r="Z962" s="38" t="s">
        <v>1262</v>
      </c>
      <c r="AA962" s="35" t="s">
        <v>1446</v>
      </c>
      <c r="AB962" s="32" t="s">
        <v>30</v>
      </c>
      <c r="AH962" s="32" t="s">
        <v>411</v>
      </c>
      <c r="AK962" s="40" t="s">
        <v>2552</v>
      </c>
      <c r="AL962" s="32">
        <v>2009</v>
      </c>
      <c r="AM962" s="32" t="s">
        <v>2553</v>
      </c>
      <c r="AN962" s="32" t="s">
        <v>2554</v>
      </c>
      <c r="AO962" s="38" t="s">
        <v>2555</v>
      </c>
      <c r="AP962" s="35" t="s">
        <v>396</v>
      </c>
    </row>
    <row r="963" spans="1:42" x14ac:dyDescent="0.2">
      <c r="A963" s="40">
        <v>95</v>
      </c>
      <c r="B963" s="40">
        <v>962</v>
      </c>
      <c r="C963" s="40" t="s">
        <v>39</v>
      </c>
      <c r="D963" s="38" t="s">
        <v>38</v>
      </c>
      <c r="E963" s="32" t="s">
        <v>2183</v>
      </c>
      <c r="F963" s="32" t="s">
        <v>237</v>
      </c>
      <c r="G963" s="38" t="s">
        <v>1923</v>
      </c>
      <c r="H963" s="32" t="s">
        <v>151</v>
      </c>
      <c r="I963" s="32" t="s">
        <v>243</v>
      </c>
      <c r="J963" s="32" t="s">
        <v>1510</v>
      </c>
      <c r="K963" s="32" t="s">
        <v>1513</v>
      </c>
      <c r="L963" s="32" t="s">
        <v>30</v>
      </c>
      <c r="M963" s="32" t="s">
        <v>30</v>
      </c>
      <c r="N963" s="40">
        <v>2007</v>
      </c>
      <c r="O963" s="32">
        <f>VLOOKUP(Data!N1091, CPI!$A$2:$B$112, 2, 0)</f>
        <v>215.303</v>
      </c>
      <c r="P963" s="32" t="s">
        <v>238</v>
      </c>
      <c r="Q963" s="32" t="s">
        <v>239</v>
      </c>
      <c r="R963" s="32" t="s">
        <v>2551</v>
      </c>
      <c r="S963" s="32">
        <v>27800000</v>
      </c>
      <c r="T963" s="32" t="s">
        <v>1487</v>
      </c>
      <c r="U963" s="32">
        <v>27800000</v>
      </c>
      <c r="V963" s="32" t="s">
        <v>1487</v>
      </c>
      <c r="W963" s="32">
        <f>VLOOKUP(N963, 'Exchange rate- Vietnam'!$A$2:$B$65, 2, 0)</f>
        <v>16105.125</v>
      </c>
      <c r="X963" s="32">
        <f t="shared" si="56"/>
        <v>1726.1585985827494</v>
      </c>
      <c r="Y963" s="32">
        <f>(CPI!$B$112/O963)*X963</f>
        <v>2442.6988560342711</v>
      </c>
      <c r="Z963" s="38" t="s">
        <v>1262</v>
      </c>
      <c r="AA963" s="35" t="s">
        <v>1446</v>
      </c>
      <c r="AB963" s="32" t="s">
        <v>30</v>
      </c>
      <c r="AH963" s="32" t="s">
        <v>411</v>
      </c>
      <c r="AK963" s="40" t="s">
        <v>2552</v>
      </c>
      <c r="AL963" s="32">
        <v>2009</v>
      </c>
      <c r="AM963" s="32" t="s">
        <v>2553</v>
      </c>
      <c r="AN963" s="32" t="s">
        <v>2554</v>
      </c>
      <c r="AO963" s="38" t="s">
        <v>2555</v>
      </c>
      <c r="AP963" s="35" t="s">
        <v>396</v>
      </c>
    </row>
    <row r="964" spans="1:42" x14ac:dyDescent="0.2">
      <c r="A964" s="40">
        <v>95</v>
      </c>
      <c r="B964" s="40">
        <v>963</v>
      </c>
      <c r="C964" s="40" t="s">
        <v>39</v>
      </c>
      <c r="D964" s="38" t="s">
        <v>38</v>
      </c>
      <c r="E964" s="32" t="s">
        <v>2183</v>
      </c>
      <c r="F964" s="32" t="s">
        <v>237</v>
      </c>
      <c r="G964" s="38" t="s">
        <v>1923</v>
      </c>
      <c r="H964" s="32" t="s">
        <v>151</v>
      </c>
      <c r="I964" s="32" t="s">
        <v>243</v>
      </c>
      <c r="J964" s="32" t="s">
        <v>1510</v>
      </c>
      <c r="K964" s="32" t="s">
        <v>1513</v>
      </c>
      <c r="L964" s="32" t="s">
        <v>30</v>
      </c>
      <c r="M964" s="32" t="s">
        <v>30</v>
      </c>
      <c r="N964" s="40">
        <v>2007</v>
      </c>
      <c r="O964" s="32">
        <f>VLOOKUP(Data!N1092, CPI!$A$2:$B$112, 2, 0)</f>
        <v>215.303</v>
      </c>
      <c r="P964" s="32" t="s">
        <v>238</v>
      </c>
      <c r="Q964" s="32" t="s">
        <v>239</v>
      </c>
      <c r="R964" s="32" t="s">
        <v>2551</v>
      </c>
      <c r="S964" s="32">
        <v>26300000</v>
      </c>
      <c r="T964" s="32" t="s">
        <v>1487</v>
      </c>
      <c r="U964" s="32">
        <v>26300000</v>
      </c>
      <c r="V964" s="32" t="s">
        <v>1487</v>
      </c>
      <c r="W964" s="32">
        <f>VLOOKUP(N964, 'Exchange rate- Vietnam'!$A$2:$B$65, 2, 0)</f>
        <v>16105.125</v>
      </c>
      <c r="X964" s="32">
        <f t="shared" si="56"/>
        <v>1633.0205447023852</v>
      </c>
      <c r="Y964" s="32">
        <f>(CPI!$B$112/O964)*X964</f>
        <v>2310.8985580468106</v>
      </c>
      <c r="Z964" s="38" t="s">
        <v>1262</v>
      </c>
      <c r="AA964" s="35" t="s">
        <v>1446</v>
      </c>
      <c r="AB964" s="32" t="s">
        <v>30</v>
      </c>
      <c r="AH964" s="32" t="s">
        <v>411</v>
      </c>
      <c r="AK964" s="40" t="s">
        <v>2552</v>
      </c>
      <c r="AL964" s="32">
        <v>2009</v>
      </c>
      <c r="AM964" s="32" t="s">
        <v>2553</v>
      </c>
      <c r="AN964" s="32" t="s">
        <v>2554</v>
      </c>
      <c r="AO964" s="38" t="s">
        <v>2555</v>
      </c>
      <c r="AP964" s="35" t="s">
        <v>396</v>
      </c>
    </row>
    <row r="965" spans="1:42" x14ac:dyDescent="0.2">
      <c r="A965" s="40">
        <v>96</v>
      </c>
      <c r="B965" s="40">
        <v>964</v>
      </c>
      <c r="C965" s="40" t="s">
        <v>114</v>
      </c>
      <c r="D965" s="38" t="s">
        <v>218</v>
      </c>
      <c r="E965" s="32" t="s">
        <v>2183</v>
      </c>
      <c r="F965" s="32" t="s">
        <v>237</v>
      </c>
      <c r="G965" s="38" t="s">
        <v>154</v>
      </c>
      <c r="H965" s="32" t="s">
        <v>151</v>
      </c>
      <c r="I965" s="32" t="s">
        <v>231</v>
      </c>
      <c r="J965" s="32" t="s">
        <v>1514</v>
      </c>
      <c r="K965" s="32" t="s">
        <v>1513</v>
      </c>
      <c r="L965" s="32" t="s">
        <v>30</v>
      </c>
      <c r="M965" s="32" t="s">
        <v>30</v>
      </c>
      <c r="N965" s="40">
        <v>2007</v>
      </c>
      <c r="O965" s="32">
        <f>VLOOKUP(Data!N1093, CPI!$A$2:$B$112, 2, 0)</f>
        <v>215.303</v>
      </c>
      <c r="P965" s="32" t="s">
        <v>238</v>
      </c>
      <c r="R965" s="32" t="s">
        <v>1515</v>
      </c>
      <c r="S965" s="32">
        <v>5300000</v>
      </c>
      <c r="T965" s="32" t="s">
        <v>1487</v>
      </c>
      <c r="U965" s="32">
        <v>5300000</v>
      </c>
      <c r="V965" s="32" t="s">
        <v>1487</v>
      </c>
      <c r="W965" s="32">
        <f>VLOOKUP(N965, 'Exchange rate- Vietnam'!$A$2:$B$65, 2, 0)</f>
        <v>16105.125</v>
      </c>
      <c r="X965" s="32">
        <f t="shared" si="56"/>
        <v>329.08779037728675</v>
      </c>
      <c r="Y965" s="32">
        <f>(CPI!$B$112/O965)*X965</f>
        <v>465.69438622236106</v>
      </c>
      <c r="Z965" s="38" t="s">
        <v>1262</v>
      </c>
      <c r="AA965" s="35" t="s">
        <v>1517</v>
      </c>
      <c r="AB965" s="32" t="s">
        <v>30</v>
      </c>
      <c r="AH965" s="32" t="s">
        <v>411</v>
      </c>
      <c r="AK965" s="40" t="s">
        <v>1518</v>
      </c>
      <c r="AL965" s="32">
        <v>2010</v>
      </c>
      <c r="AM965" s="32" t="s">
        <v>1519</v>
      </c>
      <c r="AN965" s="32" t="s">
        <v>1520</v>
      </c>
      <c r="AO965" s="38" t="s">
        <v>1521</v>
      </c>
      <c r="AP965" s="35" t="s">
        <v>396</v>
      </c>
    </row>
    <row r="966" spans="1:42" x14ac:dyDescent="0.2">
      <c r="A966" s="40">
        <v>96</v>
      </c>
      <c r="B966" s="40">
        <v>965</v>
      </c>
      <c r="C966" s="40" t="s">
        <v>114</v>
      </c>
      <c r="D966" s="38" t="s">
        <v>218</v>
      </c>
      <c r="E966" s="32" t="s">
        <v>2183</v>
      </c>
      <c r="F966" s="32" t="s">
        <v>237</v>
      </c>
      <c r="G966" s="38" t="s">
        <v>154</v>
      </c>
      <c r="H966" s="32" t="s">
        <v>151</v>
      </c>
      <c r="I966" s="32" t="s">
        <v>231</v>
      </c>
      <c r="J966" s="32" t="s">
        <v>1514</v>
      </c>
      <c r="K966" s="32" t="s">
        <v>1513</v>
      </c>
      <c r="L966" s="32" t="s">
        <v>30</v>
      </c>
      <c r="M966" s="32" t="s">
        <v>30</v>
      </c>
      <c r="N966" s="40">
        <v>2007</v>
      </c>
      <c r="O966" s="32">
        <f>VLOOKUP(Data!N1094, CPI!$A$2:$B$112, 2, 0)</f>
        <v>215.303</v>
      </c>
      <c r="P966" s="32" t="s">
        <v>238</v>
      </c>
      <c r="R966" s="32" t="s">
        <v>1516</v>
      </c>
      <c r="S966" s="32">
        <v>1330000</v>
      </c>
      <c r="T966" s="32" t="s">
        <v>1487</v>
      </c>
      <c r="U966" s="32">
        <v>1330000</v>
      </c>
      <c r="V966" s="32" t="s">
        <v>1487</v>
      </c>
      <c r="W966" s="32">
        <f>VLOOKUP(N966, 'Exchange rate- Vietnam'!$A$2:$B$65, 2, 0)</f>
        <v>16105.125</v>
      </c>
      <c r="X966" s="32">
        <f t="shared" si="56"/>
        <v>82.582407773922895</v>
      </c>
      <c r="Y966" s="32">
        <f>(CPI!$B$112/O966)*X966</f>
        <v>116.86293088221512</v>
      </c>
      <c r="Z966" s="38" t="s">
        <v>1262</v>
      </c>
      <c r="AA966" s="35" t="s">
        <v>1517</v>
      </c>
      <c r="AB966" s="32" t="s">
        <v>30</v>
      </c>
      <c r="AH966" s="32" t="s">
        <v>411</v>
      </c>
      <c r="AK966" s="40" t="s">
        <v>1518</v>
      </c>
      <c r="AL966" s="32">
        <v>2010</v>
      </c>
      <c r="AM966" s="32" t="s">
        <v>1519</v>
      </c>
      <c r="AN966" s="32" t="s">
        <v>1520</v>
      </c>
      <c r="AO966" s="38" t="s">
        <v>1521</v>
      </c>
      <c r="AP966" s="35" t="s">
        <v>396</v>
      </c>
    </row>
    <row r="967" spans="1:42" x14ac:dyDescent="0.2">
      <c r="A967" s="40">
        <v>97</v>
      </c>
      <c r="B967" s="40">
        <v>966</v>
      </c>
      <c r="C967" s="40" t="s">
        <v>119</v>
      </c>
      <c r="D967" s="38" t="s">
        <v>128</v>
      </c>
      <c r="E967" s="32" t="s">
        <v>2186</v>
      </c>
      <c r="F967" s="32" t="s">
        <v>29</v>
      </c>
      <c r="G967" s="38" t="s">
        <v>29</v>
      </c>
      <c r="H967" s="32" t="s">
        <v>242</v>
      </c>
      <c r="I967" s="32" t="s">
        <v>120</v>
      </c>
      <c r="J967" s="32" t="s">
        <v>1523</v>
      </c>
      <c r="K967" s="32" t="s">
        <v>1513</v>
      </c>
      <c r="L967" s="32" t="s">
        <v>30</v>
      </c>
      <c r="M967" s="32" t="s">
        <v>30</v>
      </c>
      <c r="N967" s="40">
        <v>2009</v>
      </c>
      <c r="O967" s="32">
        <f>VLOOKUP(Data!N716, CPI!$A$2:$B$112, 2, 0)</f>
        <v>236.73599999999999</v>
      </c>
      <c r="P967" s="32" t="s">
        <v>56</v>
      </c>
      <c r="Q967" s="32" t="s">
        <v>247</v>
      </c>
      <c r="R967" s="32" t="s">
        <v>1522</v>
      </c>
      <c r="S967" s="32">
        <v>300</v>
      </c>
      <c r="T967" s="32" t="s">
        <v>316</v>
      </c>
      <c r="U967" s="32">
        <v>300</v>
      </c>
      <c r="V967" s="32" t="s">
        <v>316</v>
      </c>
      <c r="X967" s="32">
        <f>U967</f>
        <v>300</v>
      </c>
      <c r="Y967" s="32">
        <f>(CPI!$B$112/O967)*X967</f>
        <v>386.09685472424985</v>
      </c>
      <c r="Z967" s="38" t="s">
        <v>262</v>
      </c>
      <c r="AA967" s="35" t="s">
        <v>2556</v>
      </c>
      <c r="AB967" s="32" t="s">
        <v>30</v>
      </c>
      <c r="AH967" s="32" t="s">
        <v>411</v>
      </c>
      <c r="AI967" s="32" t="s">
        <v>1524</v>
      </c>
      <c r="AK967" s="40" t="s">
        <v>1525</v>
      </c>
      <c r="AL967" s="32">
        <v>2014</v>
      </c>
      <c r="AM967" s="32" t="s">
        <v>1526</v>
      </c>
      <c r="AN967" s="32" t="s">
        <v>1527</v>
      </c>
      <c r="AO967" s="38" t="s">
        <v>1528</v>
      </c>
      <c r="AP967" s="35" t="s">
        <v>396</v>
      </c>
    </row>
    <row r="968" spans="1:42" x14ac:dyDescent="0.2">
      <c r="A968" s="40">
        <v>97</v>
      </c>
      <c r="B968" s="40">
        <v>967</v>
      </c>
      <c r="C968" s="40" t="s">
        <v>119</v>
      </c>
      <c r="D968" s="38" t="s">
        <v>128</v>
      </c>
      <c r="E968" s="32" t="s">
        <v>2186</v>
      </c>
      <c r="F968" s="32" t="s">
        <v>29</v>
      </c>
      <c r="G968" s="38" t="s">
        <v>29</v>
      </c>
      <c r="H968" s="32" t="s">
        <v>242</v>
      </c>
      <c r="I968" s="32" t="s">
        <v>120</v>
      </c>
      <c r="J968" s="32" t="s">
        <v>1523</v>
      </c>
      <c r="K968" s="32" t="s">
        <v>1513</v>
      </c>
      <c r="L968" s="32" t="s">
        <v>30</v>
      </c>
      <c r="M968" s="32" t="s">
        <v>30</v>
      </c>
      <c r="N968" s="40">
        <v>2009</v>
      </c>
      <c r="O968" s="32">
        <f>VLOOKUP(Data!N717, CPI!$A$2:$B$112, 2, 0)</f>
        <v>236.73599999999999</v>
      </c>
      <c r="P968" s="32" t="s">
        <v>56</v>
      </c>
      <c r="Q968" s="32" t="s">
        <v>247</v>
      </c>
      <c r="R968" s="32" t="s">
        <v>1522</v>
      </c>
      <c r="S968" s="32">
        <v>700</v>
      </c>
      <c r="T968" s="32" t="s">
        <v>316</v>
      </c>
      <c r="U968" s="32">
        <v>700</v>
      </c>
      <c r="V968" s="32" t="s">
        <v>316</v>
      </c>
      <c r="X968" s="32">
        <f>U968</f>
        <v>700</v>
      </c>
      <c r="Y968" s="32">
        <f>(CPI!$B$112/O968)*X968</f>
        <v>900.89266102324973</v>
      </c>
      <c r="Z968" s="38" t="s">
        <v>262</v>
      </c>
      <c r="AA968" s="35" t="s">
        <v>2556</v>
      </c>
      <c r="AB968" s="32" t="s">
        <v>30</v>
      </c>
      <c r="AH968" s="32" t="s">
        <v>411</v>
      </c>
      <c r="AI968" s="32" t="s">
        <v>1524</v>
      </c>
      <c r="AK968" s="40" t="s">
        <v>1525</v>
      </c>
      <c r="AL968" s="32">
        <v>2014</v>
      </c>
      <c r="AM968" s="32" t="s">
        <v>1526</v>
      </c>
      <c r="AN968" s="32" t="s">
        <v>1527</v>
      </c>
      <c r="AO968" s="38" t="s">
        <v>1528</v>
      </c>
      <c r="AP968" s="35" t="s">
        <v>396</v>
      </c>
    </row>
    <row r="969" spans="1:42" x14ac:dyDescent="0.2">
      <c r="A969" s="40">
        <v>98</v>
      </c>
      <c r="B969" s="40">
        <v>968</v>
      </c>
      <c r="C969" s="40" t="s">
        <v>114</v>
      </c>
      <c r="D969" s="38" t="s">
        <v>218</v>
      </c>
      <c r="E969" s="32" t="s">
        <v>2186</v>
      </c>
      <c r="F969" s="32" t="s">
        <v>29</v>
      </c>
      <c r="G969" s="38" t="s">
        <v>29</v>
      </c>
      <c r="H969" s="32" t="s">
        <v>242</v>
      </c>
      <c r="I969" s="32" t="s">
        <v>243</v>
      </c>
      <c r="J969" s="32" t="s">
        <v>1529</v>
      </c>
      <c r="K969" s="32" t="s">
        <v>1513</v>
      </c>
      <c r="L969" s="32" t="s">
        <v>30</v>
      </c>
      <c r="M969" s="32" t="s">
        <v>30</v>
      </c>
      <c r="N969" s="40">
        <v>2013</v>
      </c>
      <c r="O969" s="32">
        <f>VLOOKUP(Data!N1095, CPI!$A$2:$B$112, 2, 0)</f>
        <v>232.95699999999999</v>
      </c>
      <c r="P969" s="32" t="s">
        <v>16</v>
      </c>
      <c r="Q969" s="32" t="s">
        <v>66</v>
      </c>
      <c r="R969" s="32" t="s">
        <v>2559</v>
      </c>
      <c r="S969" s="32">
        <v>912.9</v>
      </c>
      <c r="T969" s="32" t="s">
        <v>2544</v>
      </c>
      <c r="U969" s="32">
        <f>(S969*AE969*12)/AB969</f>
        <v>186520.17103330648</v>
      </c>
      <c r="V969" s="32" t="s">
        <v>1487</v>
      </c>
      <c r="W969" s="32">
        <f>VLOOKUP(N969, 'Exchange rate- Vietnam'!$A$2:$B$65, 2, 0)</f>
        <v>20933.416666666701</v>
      </c>
      <c r="X969" s="32">
        <f t="shared" ref="X969:X976" si="57">U969/W969</f>
        <v>8.9101637827861921</v>
      </c>
      <c r="Y969" s="32">
        <f>(CPI!$B$112/O969)*X969</f>
        <v>11.653308307142533</v>
      </c>
      <c r="Z969" s="38" t="s">
        <v>1262</v>
      </c>
      <c r="AA969" s="35" t="s">
        <v>1447</v>
      </c>
      <c r="AB969" s="32">
        <f>13069+8038</f>
        <v>21107</v>
      </c>
      <c r="AC969" s="32" t="s">
        <v>2557</v>
      </c>
      <c r="AE969" s="32">
        <v>359375</v>
      </c>
      <c r="AF969" s="32" t="s">
        <v>2563</v>
      </c>
      <c r="AH969" s="32" t="s">
        <v>411</v>
      </c>
      <c r="AI969" s="32" t="s">
        <v>2564</v>
      </c>
      <c r="AJ969" s="36" t="s">
        <v>2558</v>
      </c>
      <c r="AK969" s="40" t="s">
        <v>1530</v>
      </c>
      <c r="AL969" s="32">
        <v>2014</v>
      </c>
      <c r="AM969" s="32" t="s">
        <v>1531</v>
      </c>
      <c r="AN969" s="32" t="s">
        <v>1532</v>
      </c>
      <c r="AO969" s="38" t="s">
        <v>1533</v>
      </c>
      <c r="AP969" s="35" t="s">
        <v>396</v>
      </c>
    </row>
    <row r="970" spans="1:42" x14ac:dyDescent="0.2">
      <c r="A970" s="40">
        <v>98</v>
      </c>
      <c r="B970" s="40">
        <v>969</v>
      </c>
      <c r="C970" s="40" t="s">
        <v>114</v>
      </c>
      <c r="D970" s="38" t="s">
        <v>218</v>
      </c>
      <c r="E970" s="32" t="s">
        <v>2186</v>
      </c>
      <c r="F970" s="32" t="s">
        <v>29</v>
      </c>
      <c r="G970" s="38" t="s">
        <v>29</v>
      </c>
      <c r="H970" s="32" t="s">
        <v>242</v>
      </c>
      <c r="I970" s="32" t="s">
        <v>243</v>
      </c>
      <c r="J970" s="32" t="s">
        <v>1529</v>
      </c>
      <c r="K970" s="32" t="s">
        <v>1513</v>
      </c>
      <c r="L970" s="32" t="s">
        <v>30</v>
      </c>
      <c r="M970" s="32" t="s">
        <v>30</v>
      </c>
      <c r="N970" s="40">
        <v>2013</v>
      </c>
      <c r="O970" s="32">
        <f>VLOOKUP(Data!N1096, CPI!$A$2:$B$112, 2, 0)</f>
        <v>232.95699999999999</v>
      </c>
      <c r="P970" s="32" t="s">
        <v>16</v>
      </c>
      <c r="Q970" s="32" t="s">
        <v>66</v>
      </c>
      <c r="R970" s="32" t="s">
        <v>2560</v>
      </c>
      <c r="S970" s="32">
        <v>360.1</v>
      </c>
      <c r="T970" s="32" t="s">
        <v>2544</v>
      </c>
      <c r="U970" s="32">
        <f>(S970*AE970*12)/AB970</f>
        <v>73574.228928791403</v>
      </c>
      <c r="V970" s="32" t="s">
        <v>1487</v>
      </c>
      <c r="W970" s="32">
        <f>VLOOKUP(N970, 'Exchange rate- Vietnam'!$A$2:$B$65, 2, 0)</f>
        <v>20933.416666666701</v>
      </c>
      <c r="X970" s="32">
        <f t="shared" si="57"/>
        <v>3.5146784731967444</v>
      </c>
      <c r="Y970" s="32">
        <f>(CPI!$B$112/O970)*X970</f>
        <v>4.5967316479373714</v>
      </c>
      <c r="Z970" s="38" t="s">
        <v>1262</v>
      </c>
      <c r="AA970" s="35" t="s">
        <v>1447</v>
      </c>
      <c r="AB970" s="32">
        <f>13069+8038</f>
        <v>21107</v>
      </c>
      <c r="AC970" s="32" t="s">
        <v>2557</v>
      </c>
      <c r="AE970" s="32">
        <v>359375</v>
      </c>
      <c r="AF970" s="32" t="s">
        <v>2563</v>
      </c>
      <c r="AH970" s="32" t="s">
        <v>411</v>
      </c>
      <c r="AI970" s="32" t="s">
        <v>2564</v>
      </c>
      <c r="AJ970" s="36" t="s">
        <v>2558</v>
      </c>
      <c r="AK970" s="40" t="s">
        <v>1530</v>
      </c>
      <c r="AL970" s="32">
        <v>2014</v>
      </c>
      <c r="AM970" s="32" t="s">
        <v>1531</v>
      </c>
      <c r="AN970" s="32" t="s">
        <v>1532</v>
      </c>
      <c r="AO970" s="38" t="s">
        <v>1533</v>
      </c>
      <c r="AP970" s="35" t="s">
        <v>396</v>
      </c>
    </row>
    <row r="971" spans="1:42" x14ac:dyDescent="0.2">
      <c r="A971" s="40">
        <v>98</v>
      </c>
      <c r="B971" s="40">
        <v>970</v>
      </c>
      <c r="C971" s="40" t="s">
        <v>114</v>
      </c>
      <c r="D971" s="38" t="s">
        <v>218</v>
      </c>
      <c r="E971" s="32" t="s">
        <v>2186</v>
      </c>
      <c r="F971" s="32" t="s">
        <v>29</v>
      </c>
      <c r="G971" s="35" t="s">
        <v>29</v>
      </c>
      <c r="H971" s="32" t="s">
        <v>242</v>
      </c>
      <c r="I971" s="32" t="s">
        <v>243</v>
      </c>
      <c r="J971" s="32" t="s">
        <v>1529</v>
      </c>
      <c r="K971" s="32" t="s">
        <v>1513</v>
      </c>
      <c r="L971" s="32" t="s">
        <v>30</v>
      </c>
      <c r="M971" s="32" t="s">
        <v>30</v>
      </c>
      <c r="N971" s="40">
        <v>2013</v>
      </c>
      <c r="O971" s="32">
        <f>VLOOKUP(Data!N1097, CPI!$A$2:$B$112, 2, 0)</f>
        <v>232.95699999999999</v>
      </c>
      <c r="P971" s="32" t="s">
        <v>16</v>
      </c>
      <c r="Q971" s="32" t="s">
        <v>66</v>
      </c>
      <c r="R971" s="32" t="s">
        <v>2561</v>
      </c>
      <c r="S971" s="32">
        <v>2440</v>
      </c>
      <c r="T971" s="32" t="s">
        <v>2544</v>
      </c>
      <c r="U971" s="32">
        <f>(S971*AE971*12)/AB971</f>
        <v>498531.29293599282</v>
      </c>
      <c r="V971" s="32" t="s">
        <v>1487</v>
      </c>
      <c r="W971" s="32">
        <f>VLOOKUP(N971, 'Exchange rate- Vietnam'!$A$2:$B$65, 2, 0)</f>
        <v>20933.416666666701</v>
      </c>
      <c r="X971" s="32">
        <f t="shared" si="57"/>
        <v>23.815094347681356</v>
      </c>
      <c r="Y971" s="32">
        <f>(CPI!$B$112/O971)*X971</f>
        <v>31.146973676665333</v>
      </c>
      <c r="Z971" s="38" t="s">
        <v>1262</v>
      </c>
      <c r="AA971" s="35" t="s">
        <v>1447</v>
      </c>
      <c r="AB971" s="32">
        <f>13069+8038</f>
        <v>21107</v>
      </c>
      <c r="AC971" s="32" t="s">
        <v>2557</v>
      </c>
      <c r="AE971" s="32">
        <v>359375</v>
      </c>
      <c r="AF971" s="32" t="s">
        <v>2563</v>
      </c>
      <c r="AH971" s="32" t="s">
        <v>411</v>
      </c>
      <c r="AI971" s="32" t="s">
        <v>2564</v>
      </c>
      <c r="AJ971" s="36" t="s">
        <v>2558</v>
      </c>
      <c r="AK971" s="40" t="s">
        <v>1530</v>
      </c>
      <c r="AL971" s="32">
        <v>2014</v>
      </c>
      <c r="AM971" s="32" t="s">
        <v>1531</v>
      </c>
      <c r="AN971" s="32" t="s">
        <v>1532</v>
      </c>
      <c r="AO971" s="38" t="s">
        <v>1533</v>
      </c>
      <c r="AP971" s="35" t="s">
        <v>396</v>
      </c>
    </row>
    <row r="972" spans="1:42" x14ac:dyDescent="0.2">
      <c r="A972" s="40">
        <v>99</v>
      </c>
      <c r="B972" s="40">
        <v>971</v>
      </c>
      <c r="C972" s="40" t="s">
        <v>114</v>
      </c>
      <c r="D972" s="38" t="s">
        <v>218</v>
      </c>
      <c r="E972" s="32" t="s">
        <v>2186</v>
      </c>
      <c r="F972" s="32" t="s">
        <v>29</v>
      </c>
      <c r="G972" s="38" t="s">
        <v>29</v>
      </c>
      <c r="H972" s="32" t="s">
        <v>242</v>
      </c>
      <c r="I972" s="32" t="s">
        <v>243</v>
      </c>
      <c r="J972" s="32" t="s">
        <v>1395</v>
      </c>
      <c r="K972" s="32" t="s">
        <v>1513</v>
      </c>
      <c r="L972" s="32" t="s">
        <v>30</v>
      </c>
      <c r="M972" s="32" t="s">
        <v>30</v>
      </c>
      <c r="N972" s="40">
        <v>2015</v>
      </c>
      <c r="O972" s="32">
        <f>VLOOKUP(Data!N1098, CPI!$A$2:$B$112, 2, 0)</f>
        <v>232.95699999999999</v>
      </c>
      <c r="P972" s="32" t="s">
        <v>16</v>
      </c>
      <c r="Q972" s="32" t="s">
        <v>66</v>
      </c>
      <c r="R972" s="32" t="s">
        <v>1534</v>
      </c>
      <c r="S972" s="32">
        <v>11.16</v>
      </c>
      <c r="T972" s="32" t="s">
        <v>1698</v>
      </c>
      <c r="U972" s="32">
        <f>(S972*AE972)/AB972</f>
        <v>3018.895515487749</v>
      </c>
      <c r="V972" s="32" t="s">
        <v>1487</v>
      </c>
      <c r="W972" s="32">
        <f>VLOOKUP(N972, 'Exchange rate- Vietnam'!$A$2:$B$65, 2, 0)</f>
        <v>21697.567500000001</v>
      </c>
      <c r="X972" s="32">
        <f t="shared" si="57"/>
        <v>0.13913520561637838</v>
      </c>
      <c r="Y972" s="32">
        <f>(CPI!$B$112/O972)*X972</f>
        <v>0.18197033039479352</v>
      </c>
      <c r="Z972" s="38" t="s">
        <v>1262</v>
      </c>
      <c r="AA972" s="35" t="s">
        <v>1449</v>
      </c>
      <c r="AB972" s="32">
        <v>7313</v>
      </c>
      <c r="AC972" s="32" t="s">
        <v>2562</v>
      </c>
      <c r="AE972" s="32">
        <f>359375+(2014532/3.78)+(1322791/3.78)+(1803300/3.78)+ (978695/3.78)</f>
        <v>1978242.1957671959</v>
      </c>
      <c r="AF972" s="32" t="s">
        <v>2566</v>
      </c>
      <c r="AH972" s="32" t="s">
        <v>411</v>
      </c>
      <c r="AI972" s="59" t="s">
        <v>2565</v>
      </c>
      <c r="AK972" s="40" t="s">
        <v>1530</v>
      </c>
      <c r="AL972" s="32">
        <v>2015</v>
      </c>
      <c r="AM972" s="32" t="s">
        <v>1540</v>
      </c>
      <c r="AN972" s="32" t="s">
        <v>1541</v>
      </c>
      <c r="AO972" s="38" t="s">
        <v>1542</v>
      </c>
      <c r="AP972" s="35" t="s">
        <v>396</v>
      </c>
    </row>
    <row r="973" spans="1:42" x14ac:dyDescent="0.2">
      <c r="A973" s="40">
        <v>99</v>
      </c>
      <c r="B973" s="40">
        <v>972</v>
      </c>
      <c r="C973" s="40" t="s">
        <v>114</v>
      </c>
      <c r="D973" s="38" t="s">
        <v>218</v>
      </c>
      <c r="E973" s="32" t="s">
        <v>2186</v>
      </c>
      <c r="F973" s="32" t="s">
        <v>29</v>
      </c>
      <c r="G973" s="38" t="s">
        <v>29</v>
      </c>
      <c r="H973" s="32" t="s">
        <v>242</v>
      </c>
      <c r="I973" s="32" t="s">
        <v>243</v>
      </c>
      <c r="J973" s="32" t="s">
        <v>1395</v>
      </c>
      <c r="K973" s="32" t="s">
        <v>1513</v>
      </c>
      <c r="L973" s="32" t="s">
        <v>30</v>
      </c>
      <c r="M973" s="32" t="s">
        <v>30</v>
      </c>
      <c r="N973" s="40">
        <v>2015</v>
      </c>
      <c r="O973" s="32">
        <f>VLOOKUP(Data!N1099, CPI!$A$2:$B$112, 2, 0)</f>
        <v>232.95699999999999</v>
      </c>
      <c r="P973" s="32" t="s">
        <v>16</v>
      </c>
      <c r="Q973" s="32" t="s">
        <v>66</v>
      </c>
      <c r="R973" s="32" t="s">
        <v>1535</v>
      </c>
      <c r="S973" s="32">
        <v>3177.395</v>
      </c>
      <c r="T973" s="32" t="s">
        <v>1698</v>
      </c>
      <c r="U973" s="32">
        <f>(S973*AE973)/AB973</f>
        <v>859518.23623953352</v>
      </c>
      <c r="V973" s="32" t="s">
        <v>1487</v>
      </c>
      <c r="W973" s="32">
        <f>VLOOKUP(N973, 'Exchange rate- Vietnam'!$A$2:$B$65, 2, 0)</f>
        <v>21697.567500000001</v>
      </c>
      <c r="X973" s="32">
        <f t="shared" si="57"/>
        <v>39.613575864646279</v>
      </c>
      <c r="Y973" s="32">
        <f>(CPI!$B$112/O973)*X973</f>
        <v>51.809284762075698</v>
      </c>
      <c r="Z973" s="38" t="s">
        <v>1262</v>
      </c>
      <c r="AA973" s="35" t="s">
        <v>1449</v>
      </c>
      <c r="AB973" s="32">
        <v>7313</v>
      </c>
      <c r="AC973" s="32" t="s">
        <v>2562</v>
      </c>
      <c r="AE973" s="32">
        <f>359375+(2014532/3.78)+(1322791/3.78)+(1803300/3.78)+ (978695/3.78)</f>
        <v>1978242.1957671959</v>
      </c>
      <c r="AF973" s="32" t="s">
        <v>2566</v>
      </c>
      <c r="AH973" s="32" t="s">
        <v>411</v>
      </c>
      <c r="AI973" s="59" t="s">
        <v>2565</v>
      </c>
      <c r="AK973" s="40" t="s">
        <v>1530</v>
      </c>
      <c r="AL973" s="32">
        <v>2015</v>
      </c>
      <c r="AM973" s="32" t="s">
        <v>1540</v>
      </c>
      <c r="AN973" s="32" t="s">
        <v>1541</v>
      </c>
      <c r="AO973" s="38" t="s">
        <v>1542</v>
      </c>
      <c r="AP973" s="35" t="s">
        <v>396</v>
      </c>
    </row>
    <row r="974" spans="1:42" x14ac:dyDescent="0.2">
      <c r="A974" s="40">
        <v>99</v>
      </c>
      <c r="B974" s="40">
        <v>973</v>
      </c>
      <c r="C974" s="40" t="s">
        <v>114</v>
      </c>
      <c r="D974" s="38" t="s">
        <v>218</v>
      </c>
      <c r="E974" s="32" t="s">
        <v>2186</v>
      </c>
      <c r="F974" s="32" t="s">
        <v>29</v>
      </c>
      <c r="G974" s="38" t="s">
        <v>29</v>
      </c>
      <c r="H974" s="32" t="s">
        <v>242</v>
      </c>
      <c r="I974" s="32" t="s">
        <v>243</v>
      </c>
      <c r="J974" s="32" t="s">
        <v>1395</v>
      </c>
      <c r="K974" s="32" t="s">
        <v>1513</v>
      </c>
      <c r="L974" s="32" t="s">
        <v>30</v>
      </c>
      <c r="M974" s="32" t="s">
        <v>30</v>
      </c>
      <c r="N974" s="40">
        <v>2015</v>
      </c>
      <c r="O974" s="32">
        <f>VLOOKUP(Data!N1100, CPI!$A$2:$B$112, 2, 0)</f>
        <v>232.95699999999999</v>
      </c>
      <c r="P974" s="32" t="s">
        <v>16</v>
      </c>
      <c r="Q974" s="32" t="s">
        <v>66</v>
      </c>
      <c r="R974" s="32" t="s">
        <v>1536</v>
      </c>
      <c r="S974" s="32">
        <v>6217.6379999999999</v>
      </c>
      <c r="T974" s="32" t="s">
        <v>1698</v>
      </c>
      <c r="U974" s="32">
        <f>(S974*AE974)/AB974</f>
        <v>1681935.4368392667</v>
      </c>
      <c r="V974" s="32" t="s">
        <v>1487</v>
      </c>
      <c r="W974" s="32">
        <f>VLOOKUP(N974, 'Exchange rate- Vietnam'!$A$2:$B$65, 2, 0)</f>
        <v>21697.567500000001</v>
      </c>
      <c r="X974" s="32">
        <f t="shared" si="57"/>
        <v>77.517234908441537</v>
      </c>
      <c r="Y974" s="32">
        <f>(CPI!$B$112/O974)*X974</f>
        <v>101.38222590817411</v>
      </c>
      <c r="Z974" s="38" t="s">
        <v>1262</v>
      </c>
      <c r="AA974" s="35" t="s">
        <v>1449</v>
      </c>
      <c r="AB974" s="32">
        <v>7313</v>
      </c>
      <c r="AC974" s="32" t="s">
        <v>2562</v>
      </c>
      <c r="AE974" s="32">
        <f>359375+(2014532/3.78)+(1322791/3.78)+(1803300/3.78)+ (978695/3.78)</f>
        <v>1978242.1957671959</v>
      </c>
      <c r="AF974" s="32" t="s">
        <v>2566</v>
      </c>
      <c r="AH974" s="32" t="s">
        <v>411</v>
      </c>
      <c r="AI974" s="59" t="s">
        <v>2565</v>
      </c>
      <c r="AK974" s="40" t="s">
        <v>1530</v>
      </c>
      <c r="AL974" s="32">
        <v>2015</v>
      </c>
      <c r="AM974" s="32" t="s">
        <v>1540</v>
      </c>
      <c r="AN974" s="32" t="s">
        <v>1541</v>
      </c>
      <c r="AO974" s="38" t="s">
        <v>1542</v>
      </c>
      <c r="AP974" s="35" t="s">
        <v>396</v>
      </c>
    </row>
    <row r="975" spans="1:42" x14ac:dyDescent="0.2">
      <c r="A975" s="40">
        <v>99</v>
      </c>
      <c r="B975" s="40">
        <v>974</v>
      </c>
      <c r="C975" s="40" t="s">
        <v>114</v>
      </c>
      <c r="D975" s="38" t="s">
        <v>218</v>
      </c>
      <c r="E975" s="32" t="s">
        <v>2186</v>
      </c>
      <c r="F975" s="32" t="s">
        <v>29</v>
      </c>
      <c r="G975" s="35" t="s">
        <v>29</v>
      </c>
      <c r="H975" s="32" t="s">
        <v>242</v>
      </c>
      <c r="I975" s="32" t="s">
        <v>243</v>
      </c>
      <c r="J975" s="32" t="s">
        <v>1395</v>
      </c>
      <c r="K975" s="32" t="s">
        <v>1513</v>
      </c>
      <c r="L975" s="32" t="s">
        <v>30</v>
      </c>
      <c r="M975" s="32" t="s">
        <v>30</v>
      </c>
      <c r="N975" s="40">
        <v>2015</v>
      </c>
      <c r="O975" s="32">
        <f>VLOOKUP(Data!N1101, CPI!$A$2:$B$112, 2, 0)</f>
        <v>232.95699999999999</v>
      </c>
      <c r="P975" s="32" t="s">
        <v>16</v>
      </c>
      <c r="Q975" s="32" t="s">
        <v>66</v>
      </c>
      <c r="R975" s="32" t="s">
        <v>1537</v>
      </c>
      <c r="S975" s="32">
        <v>905.81</v>
      </c>
      <c r="T975" s="32" t="s">
        <v>1698</v>
      </c>
      <c r="U975" s="32">
        <f>(S975*AE975)/AB975</f>
        <v>245030.98090358044</v>
      </c>
      <c r="V975" s="32" t="s">
        <v>1487</v>
      </c>
      <c r="W975" s="32">
        <f>VLOOKUP(N975, 'Exchange rate- Vietnam'!$A$2:$B$65, 2, 0)</f>
        <v>21697.567500000001</v>
      </c>
      <c r="X975" s="32">
        <f t="shared" si="57"/>
        <v>11.293016182739398</v>
      </c>
      <c r="Y975" s="32">
        <f>(CPI!$B$112/O975)*X975</f>
        <v>14.769762094525797</v>
      </c>
      <c r="Z975" s="38" t="s">
        <v>1262</v>
      </c>
      <c r="AA975" s="35" t="s">
        <v>1449</v>
      </c>
      <c r="AB975" s="32">
        <v>7313</v>
      </c>
      <c r="AC975" s="32" t="s">
        <v>2562</v>
      </c>
      <c r="AE975" s="32">
        <f>359375+(2014532/3.78)+(1322791/3.78)+(1803300/3.78)+ (978695/3.78)</f>
        <v>1978242.1957671959</v>
      </c>
      <c r="AF975" s="32" t="s">
        <v>2566</v>
      </c>
      <c r="AH975" s="32" t="s">
        <v>411</v>
      </c>
      <c r="AI975" s="59" t="s">
        <v>2565</v>
      </c>
      <c r="AK975" s="40" t="s">
        <v>1530</v>
      </c>
      <c r="AL975" s="32">
        <v>2015</v>
      </c>
      <c r="AM975" s="32" t="s">
        <v>1540</v>
      </c>
      <c r="AN975" s="32" t="s">
        <v>1541</v>
      </c>
      <c r="AO975" s="38" t="s">
        <v>1542</v>
      </c>
      <c r="AP975" s="35" t="s">
        <v>396</v>
      </c>
    </row>
    <row r="976" spans="1:42" x14ac:dyDescent="0.2">
      <c r="A976" s="40">
        <v>99</v>
      </c>
      <c r="B976" s="40">
        <v>975</v>
      </c>
      <c r="C976" s="40" t="s">
        <v>114</v>
      </c>
      <c r="D976" s="38" t="s">
        <v>218</v>
      </c>
      <c r="E976" s="32" t="s">
        <v>2186</v>
      </c>
      <c r="F976" s="32" t="s">
        <v>29</v>
      </c>
      <c r="G976" s="38" t="s">
        <v>29</v>
      </c>
      <c r="H976" s="32" t="s">
        <v>242</v>
      </c>
      <c r="I976" s="32" t="s">
        <v>243</v>
      </c>
      <c r="J976" s="32" t="s">
        <v>1395</v>
      </c>
      <c r="K976" s="32" t="s">
        <v>1513</v>
      </c>
      <c r="L976" s="32" t="s">
        <v>30</v>
      </c>
      <c r="M976" s="32" t="s">
        <v>30</v>
      </c>
      <c r="N976" s="40">
        <v>2015</v>
      </c>
      <c r="O976" s="32">
        <f>VLOOKUP(Data!N1102, CPI!$A$2:$B$112, 2, 0)</f>
        <v>232.95699999999999</v>
      </c>
      <c r="P976" s="32" t="s">
        <v>16</v>
      </c>
      <c r="Q976" s="32" t="s">
        <v>66</v>
      </c>
      <c r="R976" s="32" t="s">
        <v>1538</v>
      </c>
      <c r="S976" s="32">
        <v>1485.4580000000001</v>
      </c>
      <c r="T976" s="32" t="s">
        <v>1698</v>
      </c>
      <c r="U976" s="32">
        <f>(S976*AE976)/AB976</f>
        <v>401831.76475317206</v>
      </c>
      <c r="V976" s="32" t="s">
        <v>1487</v>
      </c>
      <c r="W976" s="32">
        <f>VLOOKUP(N976, 'Exchange rate- Vietnam'!$A$2:$B$65, 2, 0)</f>
        <v>21697.567500000001</v>
      </c>
      <c r="X976" s="32">
        <f t="shared" si="57"/>
        <v>18.519668840904494</v>
      </c>
      <c r="Y976" s="32">
        <f>(CPI!$B$112/O976)*X976</f>
        <v>24.221261921826983</v>
      </c>
      <c r="Z976" s="38" t="s">
        <v>1262</v>
      </c>
      <c r="AA976" s="35" t="s">
        <v>1449</v>
      </c>
      <c r="AB976" s="32">
        <v>7313</v>
      </c>
      <c r="AC976" s="32" t="s">
        <v>2562</v>
      </c>
      <c r="AE976" s="32">
        <f>359375+(2014532/3.78)+(1322791/3.78)+(1803300/3.78)+ (978695/3.78)</f>
        <v>1978242.1957671959</v>
      </c>
      <c r="AF976" s="32" t="s">
        <v>2566</v>
      </c>
      <c r="AH976" s="32" t="s">
        <v>411</v>
      </c>
      <c r="AI976" s="59" t="s">
        <v>2565</v>
      </c>
      <c r="AK976" s="40" t="s">
        <v>1530</v>
      </c>
      <c r="AL976" s="32">
        <v>2015</v>
      </c>
      <c r="AM976" s="32" t="s">
        <v>1540</v>
      </c>
      <c r="AN976" s="32" t="s">
        <v>1541</v>
      </c>
      <c r="AO976" s="38" t="s">
        <v>1542</v>
      </c>
      <c r="AP976" s="35" t="s">
        <v>396</v>
      </c>
    </row>
    <row r="977" spans="1:42" x14ac:dyDescent="0.2">
      <c r="A977" s="40">
        <v>100</v>
      </c>
      <c r="B977" s="40">
        <v>976</v>
      </c>
      <c r="C977" s="40" t="s">
        <v>114</v>
      </c>
      <c r="D977" s="38" t="s">
        <v>218</v>
      </c>
      <c r="E977" s="32" t="s">
        <v>2186</v>
      </c>
      <c r="F977" s="32" t="s">
        <v>21</v>
      </c>
      <c r="G977" s="38" t="s">
        <v>163</v>
      </c>
      <c r="H977" s="32" t="s">
        <v>151</v>
      </c>
      <c r="I977" s="32" t="s">
        <v>61</v>
      </c>
      <c r="J977" s="32" t="s">
        <v>1546</v>
      </c>
      <c r="K977" s="32" t="s">
        <v>1513</v>
      </c>
      <c r="L977" s="32" t="s">
        <v>30</v>
      </c>
      <c r="M977" s="32" t="s">
        <v>30</v>
      </c>
      <c r="N977" s="40">
        <v>2017</v>
      </c>
      <c r="O977" s="32">
        <f>VLOOKUP(Data!N1522, CPI!$A$2:$B$112, 2, 0)</f>
        <v>236.73599999999999</v>
      </c>
      <c r="P977" s="32" t="s">
        <v>122</v>
      </c>
      <c r="Q977" s="32" t="s">
        <v>4</v>
      </c>
      <c r="R977" s="32" t="s">
        <v>1543</v>
      </c>
      <c r="S977" s="32">
        <v>30.96</v>
      </c>
      <c r="T977" s="32" t="s">
        <v>362</v>
      </c>
      <c r="Z977" s="38" t="s">
        <v>262</v>
      </c>
      <c r="AA977" s="35" t="s">
        <v>1446</v>
      </c>
      <c r="AB977" s="32">
        <f>233100+25800+41000</f>
        <v>299900</v>
      </c>
      <c r="AC977" s="32" t="s">
        <v>2567</v>
      </c>
      <c r="AD977" s="35" t="s">
        <v>1549</v>
      </c>
      <c r="AK977" s="40" t="s">
        <v>1550</v>
      </c>
      <c r="AL977" s="32">
        <v>2018</v>
      </c>
      <c r="AM977" s="32" t="s">
        <v>1551</v>
      </c>
      <c r="AN977" s="32" t="s">
        <v>1552</v>
      </c>
      <c r="AO977" s="38" t="s">
        <v>1553</v>
      </c>
      <c r="AP977" s="35" t="s">
        <v>396</v>
      </c>
    </row>
    <row r="978" spans="1:42" x14ac:dyDescent="0.2">
      <c r="A978" s="40">
        <v>100</v>
      </c>
      <c r="B978" s="40">
        <v>977</v>
      </c>
      <c r="C978" s="40" t="s">
        <v>114</v>
      </c>
      <c r="D978" s="38" t="s">
        <v>218</v>
      </c>
      <c r="E978" s="32" t="s">
        <v>2186</v>
      </c>
      <c r="F978" s="32" t="s">
        <v>21</v>
      </c>
      <c r="G978" s="38" t="s">
        <v>163</v>
      </c>
      <c r="H978" s="32" t="s">
        <v>151</v>
      </c>
      <c r="I978" s="32" t="s">
        <v>61</v>
      </c>
      <c r="J978" s="32" t="s">
        <v>1548</v>
      </c>
      <c r="K978" s="32" t="s">
        <v>1513</v>
      </c>
      <c r="L978" s="32" t="s">
        <v>30</v>
      </c>
      <c r="M978" s="32" t="s">
        <v>30</v>
      </c>
      <c r="N978" s="40">
        <v>2017</v>
      </c>
      <c r="O978" s="32">
        <f>VLOOKUP(Data!N1523, CPI!$A$2:$B$112, 2, 0)</f>
        <v>201.6</v>
      </c>
      <c r="P978" s="32" t="s">
        <v>122</v>
      </c>
      <c r="Q978" s="32" t="s">
        <v>4</v>
      </c>
      <c r="R978" s="32" t="s">
        <v>1544</v>
      </c>
      <c r="S978" s="32">
        <v>23.88</v>
      </c>
      <c r="T978" s="32" t="s">
        <v>362</v>
      </c>
      <c r="Z978" s="38" t="s">
        <v>262</v>
      </c>
      <c r="AA978" s="35" t="s">
        <v>1446</v>
      </c>
      <c r="AB978" s="32">
        <f>233100+25800+41000</f>
        <v>299900</v>
      </c>
      <c r="AC978" s="32" t="s">
        <v>2567</v>
      </c>
      <c r="AD978" s="35" t="s">
        <v>1549</v>
      </c>
      <c r="AK978" s="40" t="s">
        <v>1550</v>
      </c>
      <c r="AL978" s="32">
        <v>2018</v>
      </c>
      <c r="AM978" s="32" t="s">
        <v>1551</v>
      </c>
      <c r="AN978" s="32" t="s">
        <v>1552</v>
      </c>
      <c r="AO978" s="38" t="s">
        <v>1553</v>
      </c>
      <c r="AP978" s="35" t="s">
        <v>396</v>
      </c>
    </row>
    <row r="979" spans="1:42" x14ac:dyDescent="0.2">
      <c r="A979" s="40">
        <v>100</v>
      </c>
      <c r="B979" s="40">
        <v>978</v>
      </c>
      <c r="C979" s="40" t="s">
        <v>114</v>
      </c>
      <c r="D979" s="38" t="s">
        <v>218</v>
      </c>
      <c r="E979" s="32" t="s">
        <v>2183</v>
      </c>
      <c r="F979" s="32" t="s">
        <v>244</v>
      </c>
      <c r="G979" s="38" t="s">
        <v>2908</v>
      </c>
      <c r="H979" s="32" t="s">
        <v>151</v>
      </c>
      <c r="I979" s="32" t="s">
        <v>61</v>
      </c>
      <c r="J979" s="32" t="s">
        <v>1547</v>
      </c>
      <c r="K979" s="32" t="s">
        <v>1513</v>
      </c>
      <c r="L979" s="32" t="s">
        <v>30</v>
      </c>
      <c r="M979" s="32" t="s">
        <v>30</v>
      </c>
      <c r="N979" s="40">
        <v>2017</v>
      </c>
      <c r="O979" s="32">
        <f>VLOOKUP(Data!N1524, CPI!$A$2:$B$112, 2, 0)</f>
        <v>201.6</v>
      </c>
      <c r="P979" s="32" t="s">
        <v>122</v>
      </c>
      <c r="Q979" s="32" t="s">
        <v>4</v>
      </c>
      <c r="R979" s="32" t="s">
        <v>1545</v>
      </c>
      <c r="S979" s="32">
        <v>15.86</v>
      </c>
      <c r="T979" s="32" t="s">
        <v>362</v>
      </c>
      <c r="Z979" s="38" t="s">
        <v>262</v>
      </c>
      <c r="AA979" s="35" t="s">
        <v>1446</v>
      </c>
      <c r="AB979" s="32">
        <f>233100+25800+41000</f>
        <v>299900</v>
      </c>
      <c r="AC979" s="32" t="s">
        <v>2567</v>
      </c>
      <c r="AD979" s="35" t="s">
        <v>1549</v>
      </c>
      <c r="AK979" s="40" t="s">
        <v>1550</v>
      </c>
      <c r="AL979" s="32">
        <v>2018</v>
      </c>
      <c r="AM979" s="32" t="s">
        <v>1551</v>
      </c>
      <c r="AN979" s="32" t="s">
        <v>1552</v>
      </c>
      <c r="AO979" s="38" t="s">
        <v>1553</v>
      </c>
      <c r="AP979" s="35" t="s">
        <v>396</v>
      </c>
    </row>
    <row r="980" spans="1:42" x14ac:dyDescent="0.2">
      <c r="A980" s="40">
        <v>101</v>
      </c>
      <c r="B980" s="40">
        <v>979</v>
      </c>
      <c r="C980" s="40" t="s">
        <v>114</v>
      </c>
      <c r="D980" s="38" t="s">
        <v>218</v>
      </c>
      <c r="E980" s="32" t="s">
        <v>2183</v>
      </c>
      <c r="F980" s="32" t="s">
        <v>244</v>
      </c>
      <c r="G980" s="38" t="s">
        <v>2908</v>
      </c>
      <c r="H980" s="32" t="s">
        <v>151</v>
      </c>
      <c r="I980" s="32" t="s">
        <v>243</v>
      </c>
      <c r="J980" s="32" t="s">
        <v>1554</v>
      </c>
      <c r="K980" s="32" t="s">
        <v>1513</v>
      </c>
      <c r="L980" s="77" t="s">
        <v>2571</v>
      </c>
      <c r="M980" s="32" t="s">
        <v>2572</v>
      </c>
      <c r="N980" s="40">
        <v>2014</v>
      </c>
      <c r="O980" s="32">
        <f>VLOOKUP(Data!N718, CPI!$A$2:$B$112, 2, 0)</f>
        <v>236.73599999999999</v>
      </c>
      <c r="P980" s="32" t="s">
        <v>122</v>
      </c>
      <c r="Q980" s="32" t="s">
        <v>239</v>
      </c>
      <c r="R980" s="32" t="s">
        <v>2568</v>
      </c>
      <c r="S980" s="32">
        <v>7978.29</v>
      </c>
      <c r="T980" s="32" t="s">
        <v>2569</v>
      </c>
      <c r="U980" s="32">
        <f>(S980*12)/AB980</f>
        <v>53.545570469798655</v>
      </c>
      <c r="V980" s="32" t="s">
        <v>316</v>
      </c>
      <c r="X980" s="32">
        <f>U980</f>
        <v>53.545570469798655</v>
      </c>
      <c r="Y980" s="32">
        <f>(CPI!$B$112/O980)*X980</f>
        <v>68.912587809349787</v>
      </c>
      <c r="Z980" s="38" t="s">
        <v>262</v>
      </c>
      <c r="AA980" s="35" t="s">
        <v>1556</v>
      </c>
      <c r="AB980" s="32">
        <v>1788</v>
      </c>
      <c r="AC980" s="32" t="s">
        <v>2570</v>
      </c>
      <c r="AH980" s="32" t="s">
        <v>411</v>
      </c>
      <c r="AI980" s="32" t="s">
        <v>1539</v>
      </c>
      <c r="AJ980" s="36" t="s">
        <v>2573</v>
      </c>
      <c r="AK980" s="40" t="s">
        <v>1557</v>
      </c>
      <c r="AL980" s="32">
        <v>2014</v>
      </c>
      <c r="AM980" s="32" t="s">
        <v>1558</v>
      </c>
      <c r="AN980" s="32" t="s">
        <v>1559</v>
      </c>
      <c r="AO980" s="38" t="s">
        <v>1560</v>
      </c>
      <c r="AP980" s="35" t="s">
        <v>396</v>
      </c>
    </row>
    <row r="981" spans="1:42" x14ac:dyDescent="0.2">
      <c r="A981" s="40">
        <v>101</v>
      </c>
      <c r="B981" s="40">
        <v>980</v>
      </c>
      <c r="C981" s="40" t="s">
        <v>114</v>
      </c>
      <c r="D981" s="38" t="s">
        <v>218</v>
      </c>
      <c r="E981" s="32" t="s">
        <v>2183</v>
      </c>
      <c r="F981" s="32" t="s">
        <v>244</v>
      </c>
      <c r="G981" s="38" t="s">
        <v>2908</v>
      </c>
      <c r="H981" s="32" t="s">
        <v>151</v>
      </c>
      <c r="I981" s="32" t="s">
        <v>243</v>
      </c>
      <c r="J981" s="32" t="s">
        <v>1554</v>
      </c>
      <c r="K981" s="32" t="s">
        <v>1513</v>
      </c>
      <c r="L981" s="77" t="s">
        <v>2571</v>
      </c>
      <c r="M981" s="32" t="s">
        <v>2572</v>
      </c>
      <c r="N981" s="40">
        <v>2014</v>
      </c>
      <c r="O981" s="32">
        <f>VLOOKUP(Data!N1525, CPI!$A$2:$B$112, 2, 0)</f>
        <v>201.6</v>
      </c>
      <c r="P981" s="32" t="s">
        <v>122</v>
      </c>
      <c r="Q981" s="32" t="s">
        <v>4</v>
      </c>
      <c r="R981" s="32" t="s">
        <v>1555</v>
      </c>
      <c r="S981" s="32">
        <v>6.2</v>
      </c>
      <c r="T981" s="32" t="s">
        <v>608</v>
      </c>
      <c r="Z981" s="38" t="s">
        <v>262</v>
      </c>
      <c r="AA981" s="35" t="s">
        <v>1412</v>
      </c>
      <c r="AB981" s="32">
        <v>1788</v>
      </c>
      <c r="AH981" s="32" t="s">
        <v>411</v>
      </c>
      <c r="AI981" s="32" t="s">
        <v>1539</v>
      </c>
      <c r="AK981" s="40" t="s">
        <v>1557</v>
      </c>
      <c r="AL981" s="32">
        <v>2014</v>
      </c>
      <c r="AM981" s="32" t="s">
        <v>1558</v>
      </c>
      <c r="AN981" s="32" t="s">
        <v>1559</v>
      </c>
      <c r="AO981" s="38" t="s">
        <v>1560</v>
      </c>
      <c r="AP981" s="35" t="s">
        <v>396</v>
      </c>
    </row>
    <row r="982" spans="1:42" x14ac:dyDescent="0.2">
      <c r="A982" s="40">
        <v>102</v>
      </c>
      <c r="B982" s="40">
        <v>981</v>
      </c>
      <c r="C982" s="40" t="s">
        <v>241</v>
      </c>
      <c r="D982" s="38" t="s">
        <v>240</v>
      </c>
      <c r="E982" s="32" t="s">
        <v>2186</v>
      </c>
      <c r="F982" s="32" t="s">
        <v>29</v>
      </c>
      <c r="G982" s="38" t="s">
        <v>29</v>
      </c>
      <c r="H982" s="32" t="s">
        <v>115</v>
      </c>
      <c r="I982" s="32" t="s">
        <v>137</v>
      </c>
      <c r="J982" s="32" t="s">
        <v>1513</v>
      </c>
      <c r="K982" s="32" t="s">
        <v>1513</v>
      </c>
      <c r="L982" s="32" t="s">
        <v>30</v>
      </c>
      <c r="M982" s="32" t="s">
        <v>30</v>
      </c>
      <c r="N982" s="40">
        <v>2011</v>
      </c>
      <c r="O982" s="32">
        <f>VLOOKUP(Data!N719, CPI!$A$2:$B$112, 2, 0)</f>
        <v>236.73599999999999</v>
      </c>
      <c r="P982" s="32" t="s">
        <v>132</v>
      </c>
      <c r="Q982" s="32" t="s">
        <v>239</v>
      </c>
      <c r="R982" s="32" t="s">
        <v>1561</v>
      </c>
      <c r="S982" s="32">
        <v>166444000000</v>
      </c>
      <c r="T982" s="32" t="s">
        <v>300</v>
      </c>
      <c r="U982" s="32">
        <f t="shared" ref="U982:U993" si="58">S982/AB982</f>
        <v>5104.3445993811392</v>
      </c>
      <c r="V982" s="32" t="s">
        <v>316</v>
      </c>
      <c r="X982" s="32">
        <f t="shared" ref="X982:X1018" si="59">U982</f>
        <v>5104.3445993811392</v>
      </c>
      <c r="Y982" s="32">
        <f>(CPI!$B$112/O982)*X982</f>
        <v>6569.2379841658967</v>
      </c>
      <c r="Z982" s="38" t="s">
        <v>262</v>
      </c>
      <c r="AA982" s="35" t="s">
        <v>1562</v>
      </c>
      <c r="AB982" s="32">
        <v>32608300</v>
      </c>
      <c r="AC982" s="32" t="s">
        <v>1425</v>
      </c>
      <c r="AH982" s="32" t="s">
        <v>411</v>
      </c>
      <c r="AJ982" s="35" t="s">
        <v>2278</v>
      </c>
      <c r="AK982" s="40" t="s">
        <v>1563</v>
      </c>
      <c r="AL982" s="32">
        <v>2016</v>
      </c>
      <c r="AM982" s="32" t="s">
        <v>1564</v>
      </c>
      <c r="AN982" s="32" t="s">
        <v>1565</v>
      </c>
      <c r="AO982" s="38" t="s">
        <v>1566</v>
      </c>
      <c r="AP982" s="35" t="s">
        <v>396</v>
      </c>
    </row>
    <row r="983" spans="1:42" x14ac:dyDescent="0.2">
      <c r="A983" s="40">
        <v>103</v>
      </c>
      <c r="B983" s="40">
        <v>982</v>
      </c>
      <c r="C983" s="40" t="s">
        <v>149</v>
      </c>
      <c r="D983" s="38" t="s">
        <v>148</v>
      </c>
      <c r="E983" s="32" t="s">
        <v>2183</v>
      </c>
      <c r="F983" s="32" t="s">
        <v>237</v>
      </c>
      <c r="G983" s="38" t="s">
        <v>154</v>
      </c>
      <c r="H983" s="32" t="s">
        <v>242</v>
      </c>
      <c r="I983" s="32" t="s">
        <v>243</v>
      </c>
      <c r="J983" s="32" t="s">
        <v>1567</v>
      </c>
      <c r="K983" s="32" t="s">
        <v>1513</v>
      </c>
      <c r="L983" s="32" t="s">
        <v>30</v>
      </c>
      <c r="M983" s="32" t="s">
        <v>30</v>
      </c>
      <c r="N983" s="40">
        <v>2011</v>
      </c>
      <c r="O983" s="32">
        <f>VLOOKUP(Data!N720, CPI!$A$2:$B$112, 2, 0)</f>
        <v>236.73599999999999</v>
      </c>
      <c r="P983" s="32" t="s">
        <v>238</v>
      </c>
      <c r="Q983" s="32" t="s">
        <v>239</v>
      </c>
      <c r="R983" s="32" t="s">
        <v>1568</v>
      </c>
      <c r="S983" s="32">
        <v>74910000</v>
      </c>
      <c r="T983" s="32" t="s">
        <v>300</v>
      </c>
      <c r="U983" s="32">
        <f t="shared" si="58"/>
        <v>1956.2322095422139</v>
      </c>
      <c r="V983" s="32" t="s">
        <v>316</v>
      </c>
      <c r="X983" s="32">
        <f t="shared" si="59"/>
        <v>1956.2322095422139</v>
      </c>
      <c r="Y983" s="32">
        <f>(CPI!$B$112/O983)*X983</f>
        <v>2517.6503440483948</v>
      </c>
      <c r="Z983" s="38" t="s">
        <v>262</v>
      </c>
      <c r="AA983" s="35" t="s">
        <v>1425</v>
      </c>
      <c r="AB983" s="32">
        <v>38293</v>
      </c>
      <c r="AC983" s="35" t="s">
        <v>1425</v>
      </c>
      <c r="AH983" s="32" t="s">
        <v>411</v>
      </c>
      <c r="AJ983" s="35" t="s">
        <v>2278</v>
      </c>
      <c r="AK983" s="40" t="s">
        <v>1574</v>
      </c>
      <c r="AL983" s="32">
        <v>2013</v>
      </c>
      <c r="AM983" s="32" t="s">
        <v>1575</v>
      </c>
      <c r="AN983" s="32" t="s">
        <v>1576</v>
      </c>
      <c r="AO983" s="38" t="s">
        <v>1577</v>
      </c>
      <c r="AP983" s="35" t="s">
        <v>396</v>
      </c>
    </row>
    <row r="984" spans="1:42" x14ac:dyDescent="0.2">
      <c r="A984" s="40">
        <v>103</v>
      </c>
      <c r="B984" s="40">
        <v>983</v>
      </c>
      <c r="C984" s="40" t="s">
        <v>149</v>
      </c>
      <c r="D984" s="38" t="s">
        <v>148</v>
      </c>
      <c r="E984" s="32" t="s">
        <v>2183</v>
      </c>
      <c r="F984" s="32" t="s">
        <v>237</v>
      </c>
      <c r="G984" s="38" t="s">
        <v>154</v>
      </c>
      <c r="H984" s="32" t="s">
        <v>242</v>
      </c>
      <c r="I984" s="32" t="s">
        <v>243</v>
      </c>
      <c r="J984" s="32" t="s">
        <v>1567</v>
      </c>
      <c r="K984" s="32" t="s">
        <v>1513</v>
      </c>
      <c r="L984" s="32" t="s">
        <v>30</v>
      </c>
      <c r="M984" s="32" t="s">
        <v>30</v>
      </c>
      <c r="N984" s="40">
        <v>2011</v>
      </c>
      <c r="O984" s="32">
        <f>VLOOKUP(Data!N721, CPI!$A$2:$B$112, 2, 0)</f>
        <v>237.017</v>
      </c>
      <c r="P984" s="32" t="s">
        <v>238</v>
      </c>
      <c r="Q984" s="32" t="s">
        <v>239</v>
      </c>
      <c r="R984" s="32" t="s">
        <v>1568</v>
      </c>
      <c r="S984" s="32">
        <v>14780000</v>
      </c>
      <c r="T984" s="32" t="s">
        <v>300</v>
      </c>
      <c r="U984" s="32">
        <f t="shared" si="58"/>
        <v>419.11243442506736</v>
      </c>
      <c r="V984" s="32" t="s">
        <v>316</v>
      </c>
      <c r="X984" s="32">
        <f t="shared" si="59"/>
        <v>419.11243442506736</v>
      </c>
      <c r="Y984" s="32">
        <f>(CPI!$B$112/O984)*X984</f>
        <v>538.75382105594815</v>
      </c>
      <c r="Z984" s="38" t="s">
        <v>262</v>
      </c>
      <c r="AA984" s="35" t="s">
        <v>1425</v>
      </c>
      <c r="AB984" s="32">
        <v>35265</v>
      </c>
      <c r="AC984" s="35" t="s">
        <v>1425</v>
      </c>
      <c r="AH984" s="32" t="s">
        <v>411</v>
      </c>
      <c r="AJ984" s="35" t="s">
        <v>2278</v>
      </c>
      <c r="AK984" s="40" t="s">
        <v>1574</v>
      </c>
      <c r="AL984" s="32">
        <v>2013</v>
      </c>
      <c r="AM984" s="32" t="s">
        <v>1575</v>
      </c>
      <c r="AN984" s="32" t="s">
        <v>1576</v>
      </c>
      <c r="AO984" s="38" t="s">
        <v>1577</v>
      </c>
      <c r="AP984" s="35" t="s">
        <v>396</v>
      </c>
    </row>
    <row r="985" spans="1:42" x14ac:dyDescent="0.2">
      <c r="A985" s="40">
        <v>103</v>
      </c>
      <c r="B985" s="40">
        <v>984</v>
      </c>
      <c r="C985" s="40" t="s">
        <v>149</v>
      </c>
      <c r="D985" s="38" t="s">
        <v>148</v>
      </c>
      <c r="E985" s="32" t="s">
        <v>2186</v>
      </c>
      <c r="F985" s="32" t="s">
        <v>29</v>
      </c>
      <c r="G985" s="38" t="s">
        <v>29</v>
      </c>
      <c r="H985" s="32" t="s">
        <v>242</v>
      </c>
      <c r="I985" s="32" t="s">
        <v>243</v>
      </c>
      <c r="J985" s="32" t="s">
        <v>1567</v>
      </c>
      <c r="K985" s="32" t="s">
        <v>1513</v>
      </c>
      <c r="L985" s="32" t="s">
        <v>30</v>
      </c>
      <c r="M985" s="32" t="s">
        <v>30</v>
      </c>
      <c r="N985" s="40">
        <v>2011</v>
      </c>
      <c r="O985" s="32">
        <f>VLOOKUP(Data!N722, CPI!$A$2:$B$112, 2, 0)</f>
        <v>237.017</v>
      </c>
      <c r="P985" s="32" t="s">
        <v>21</v>
      </c>
      <c r="Q985" s="32" t="s">
        <v>239</v>
      </c>
      <c r="R985" s="32" t="s">
        <v>1571</v>
      </c>
      <c r="S985" s="32">
        <v>676101208</v>
      </c>
      <c r="T985" s="32" t="s">
        <v>300</v>
      </c>
      <c r="U985" s="32">
        <f t="shared" si="58"/>
        <v>17656</v>
      </c>
      <c r="V985" s="32" t="s">
        <v>316</v>
      </c>
      <c r="X985" s="32">
        <f t="shared" si="59"/>
        <v>17656</v>
      </c>
      <c r="Y985" s="32">
        <f>(CPI!$B$112/O985)*X985</f>
        <v>22696.147103372336</v>
      </c>
      <c r="Z985" s="38" t="s">
        <v>262</v>
      </c>
      <c r="AA985" s="35" t="s">
        <v>2574</v>
      </c>
      <c r="AB985" s="32">
        <v>38293</v>
      </c>
      <c r="AC985" s="35" t="s">
        <v>2574</v>
      </c>
      <c r="AH985" s="32" t="s">
        <v>411</v>
      </c>
      <c r="AJ985" s="35" t="s">
        <v>2278</v>
      </c>
      <c r="AK985" s="40" t="s">
        <v>1574</v>
      </c>
      <c r="AL985" s="32">
        <v>2013</v>
      </c>
      <c r="AM985" s="32" t="s">
        <v>1575</v>
      </c>
      <c r="AN985" s="32" t="s">
        <v>1576</v>
      </c>
      <c r="AO985" s="38" t="s">
        <v>1577</v>
      </c>
      <c r="AP985" s="35" t="s">
        <v>396</v>
      </c>
    </row>
    <row r="986" spans="1:42" x14ac:dyDescent="0.2">
      <c r="A986" s="40">
        <v>103</v>
      </c>
      <c r="B986" s="40">
        <v>985</v>
      </c>
      <c r="C986" s="40" t="s">
        <v>149</v>
      </c>
      <c r="D986" s="38" t="s">
        <v>148</v>
      </c>
      <c r="E986" s="32" t="s">
        <v>2186</v>
      </c>
      <c r="F986" s="32" t="s">
        <v>29</v>
      </c>
      <c r="G986" s="38" t="s">
        <v>29</v>
      </c>
      <c r="H986" s="32" t="s">
        <v>242</v>
      </c>
      <c r="I986" s="32" t="s">
        <v>243</v>
      </c>
      <c r="J986" s="32" t="s">
        <v>1567</v>
      </c>
      <c r="K986" s="32" t="s">
        <v>1513</v>
      </c>
      <c r="L986" s="32" t="s">
        <v>30</v>
      </c>
      <c r="M986" s="32" t="s">
        <v>30</v>
      </c>
      <c r="N986" s="40">
        <v>2011</v>
      </c>
      <c r="O986" s="32">
        <f>VLOOKUP(Data!N723, CPI!$A$2:$B$112, 2, 0)</f>
        <v>237.017</v>
      </c>
      <c r="P986" s="32" t="s">
        <v>21</v>
      </c>
      <c r="Q986" s="32" t="s">
        <v>239</v>
      </c>
      <c r="R986" s="32" t="s">
        <v>1571</v>
      </c>
      <c r="S986" s="32">
        <v>622638840</v>
      </c>
      <c r="T986" s="32" t="s">
        <v>300</v>
      </c>
      <c r="U986" s="32">
        <f t="shared" si="58"/>
        <v>17656</v>
      </c>
      <c r="V986" s="32" t="s">
        <v>316</v>
      </c>
      <c r="X986" s="32">
        <f t="shared" si="59"/>
        <v>17656</v>
      </c>
      <c r="Y986" s="32">
        <f>(CPI!$B$112/O986)*X986</f>
        <v>22696.147103372336</v>
      </c>
      <c r="Z986" s="38" t="s">
        <v>262</v>
      </c>
      <c r="AA986" s="35" t="s">
        <v>2575</v>
      </c>
      <c r="AB986" s="32">
        <v>35265</v>
      </c>
      <c r="AC986" s="35" t="s">
        <v>2575</v>
      </c>
      <c r="AH986" s="32" t="s">
        <v>411</v>
      </c>
      <c r="AJ986" s="35" t="s">
        <v>2278</v>
      </c>
      <c r="AK986" s="40" t="s">
        <v>1574</v>
      </c>
      <c r="AL986" s="32">
        <v>2013</v>
      </c>
      <c r="AM986" s="32" t="s">
        <v>1575</v>
      </c>
      <c r="AN986" s="32" t="s">
        <v>1576</v>
      </c>
      <c r="AO986" s="38" t="s">
        <v>1577</v>
      </c>
      <c r="AP986" s="35" t="s">
        <v>396</v>
      </c>
    </row>
    <row r="987" spans="1:42" x14ac:dyDescent="0.2">
      <c r="A987" s="40">
        <v>103</v>
      </c>
      <c r="B987" s="40">
        <v>986</v>
      </c>
      <c r="C987" s="40" t="s">
        <v>149</v>
      </c>
      <c r="D987" s="38" t="s">
        <v>148</v>
      </c>
      <c r="E987" s="32" t="s">
        <v>2887</v>
      </c>
      <c r="F987" s="32" t="s">
        <v>121</v>
      </c>
      <c r="G987" s="38" t="s">
        <v>123</v>
      </c>
      <c r="H987" s="32" t="s">
        <v>242</v>
      </c>
      <c r="I987" s="32" t="s">
        <v>243</v>
      </c>
      <c r="J987" s="32" t="s">
        <v>1567</v>
      </c>
      <c r="K987" s="32" t="s">
        <v>1513</v>
      </c>
      <c r="L987" s="32" t="s">
        <v>30</v>
      </c>
      <c r="M987" s="32" t="s">
        <v>30</v>
      </c>
      <c r="N987" s="40">
        <v>2011</v>
      </c>
      <c r="O987" s="32">
        <f>VLOOKUP(Data!N724, CPI!$A$2:$B$112, 2, 0)</f>
        <v>214.53700000000001</v>
      </c>
      <c r="P987" s="32" t="s">
        <v>160</v>
      </c>
      <c r="Q987" s="32" t="s">
        <v>239</v>
      </c>
      <c r="R987" s="32" t="s">
        <v>1570</v>
      </c>
      <c r="S987" s="32">
        <v>104403997</v>
      </c>
      <c r="T987" s="32" t="s">
        <v>300</v>
      </c>
      <c r="U987" s="32">
        <f t="shared" si="58"/>
        <v>2960.5557067914365</v>
      </c>
      <c r="V987" s="32" t="s">
        <v>316</v>
      </c>
      <c r="X987" s="32">
        <f t="shared" si="59"/>
        <v>2960.5557067914365</v>
      </c>
      <c r="Y987" s="32">
        <f>(CPI!$B$112/O987)*X987</f>
        <v>4204.461192890587</v>
      </c>
      <c r="Z987" s="38" t="s">
        <v>262</v>
      </c>
      <c r="AA987" s="35" t="s">
        <v>1448</v>
      </c>
      <c r="AB987" s="32">
        <v>35265</v>
      </c>
      <c r="AC987" s="32" t="s">
        <v>1448</v>
      </c>
      <c r="AH987" s="32" t="s">
        <v>411</v>
      </c>
      <c r="AJ987" s="35" t="s">
        <v>2278</v>
      </c>
      <c r="AK987" s="40" t="s">
        <v>1574</v>
      </c>
      <c r="AL987" s="32">
        <v>2013</v>
      </c>
      <c r="AM987" s="32" t="s">
        <v>1575</v>
      </c>
      <c r="AN987" s="32" t="s">
        <v>1576</v>
      </c>
      <c r="AO987" s="38" t="s">
        <v>1577</v>
      </c>
      <c r="AP987" s="35" t="s">
        <v>396</v>
      </c>
    </row>
    <row r="988" spans="1:42" x14ac:dyDescent="0.2">
      <c r="A988" s="40">
        <v>103</v>
      </c>
      <c r="B988" s="40">
        <v>987</v>
      </c>
      <c r="C988" s="40" t="s">
        <v>149</v>
      </c>
      <c r="D988" s="38" t="s">
        <v>148</v>
      </c>
      <c r="E988" s="32" t="s">
        <v>2887</v>
      </c>
      <c r="F988" s="32" t="s">
        <v>121</v>
      </c>
      <c r="G988" s="35" t="s">
        <v>123</v>
      </c>
      <c r="H988" s="32" t="s">
        <v>242</v>
      </c>
      <c r="I988" s="32" t="s">
        <v>243</v>
      </c>
      <c r="J988" s="32" t="s">
        <v>1567</v>
      </c>
      <c r="K988" s="32" t="s">
        <v>1513</v>
      </c>
      <c r="L988" s="32" t="s">
        <v>30</v>
      </c>
      <c r="M988" s="32" t="s">
        <v>30</v>
      </c>
      <c r="N988" s="40">
        <v>2011</v>
      </c>
      <c r="O988" s="32">
        <f>VLOOKUP(Data!N725, CPI!$A$2:$B$112, 2, 0)</f>
        <v>237.017</v>
      </c>
      <c r="P988" s="32" t="s">
        <v>160</v>
      </c>
      <c r="Q988" s="32" t="s">
        <v>239</v>
      </c>
      <c r="R988" s="32" t="s">
        <v>1570</v>
      </c>
      <c r="S988" s="32">
        <v>176059997</v>
      </c>
      <c r="T988" s="32" t="s">
        <v>300</v>
      </c>
      <c r="U988" s="32">
        <f t="shared" si="58"/>
        <v>4597.7070744000212</v>
      </c>
      <c r="V988" s="32" t="s">
        <v>316</v>
      </c>
      <c r="X988" s="32">
        <f t="shared" si="59"/>
        <v>4597.7070744000212</v>
      </c>
      <c r="Y988" s="32">
        <f>(CPI!$B$112/O988)*X988</f>
        <v>5910.1855515857796</v>
      </c>
      <c r="Z988" s="38" t="s">
        <v>262</v>
      </c>
      <c r="AA988" s="35" t="s">
        <v>1448</v>
      </c>
      <c r="AB988" s="32">
        <v>38293</v>
      </c>
      <c r="AC988" s="35" t="s">
        <v>1448</v>
      </c>
      <c r="AH988" s="32" t="s">
        <v>411</v>
      </c>
      <c r="AJ988" s="35" t="s">
        <v>2278</v>
      </c>
      <c r="AK988" s="40" t="s">
        <v>1574</v>
      </c>
      <c r="AL988" s="32">
        <v>2013</v>
      </c>
      <c r="AM988" s="32" t="s">
        <v>1575</v>
      </c>
      <c r="AN988" s="32" t="s">
        <v>1576</v>
      </c>
      <c r="AO988" s="38" t="s">
        <v>1577</v>
      </c>
      <c r="AP988" s="35" t="s">
        <v>396</v>
      </c>
    </row>
    <row r="989" spans="1:42" x14ac:dyDescent="0.2">
      <c r="A989" s="40">
        <v>103</v>
      </c>
      <c r="B989" s="40">
        <v>988</v>
      </c>
      <c r="C989" s="40" t="s">
        <v>149</v>
      </c>
      <c r="D989" s="38" t="s">
        <v>148</v>
      </c>
      <c r="E989" s="32" t="s">
        <v>2184</v>
      </c>
      <c r="F989" s="32" t="s">
        <v>131</v>
      </c>
      <c r="G989" s="38" t="s">
        <v>133</v>
      </c>
      <c r="H989" s="32" t="s">
        <v>242</v>
      </c>
      <c r="I989" s="32" t="s">
        <v>243</v>
      </c>
      <c r="J989" s="32" t="s">
        <v>1567</v>
      </c>
      <c r="K989" s="32" t="s">
        <v>1513</v>
      </c>
      <c r="L989" s="32" t="s">
        <v>30</v>
      </c>
      <c r="M989" s="32" t="s">
        <v>30</v>
      </c>
      <c r="N989" s="40">
        <v>2011</v>
      </c>
      <c r="O989" s="32">
        <f>VLOOKUP(Data!N726, CPI!$A$2:$B$112, 2, 0)</f>
        <v>237.017</v>
      </c>
      <c r="P989" s="32" t="s">
        <v>132</v>
      </c>
      <c r="Q989" s="32" t="s">
        <v>239</v>
      </c>
      <c r="R989" s="32" t="s">
        <v>530</v>
      </c>
      <c r="S989" s="32">
        <v>839893133</v>
      </c>
      <c r="T989" s="32" t="s">
        <v>300</v>
      </c>
      <c r="U989" s="32">
        <f t="shared" si="58"/>
        <v>21933.333324628522</v>
      </c>
      <c r="V989" s="32" t="s">
        <v>316</v>
      </c>
      <c r="X989" s="32">
        <f t="shared" si="59"/>
        <v>21933.333324628522</v>
      </c>
      <c r="Y989" s="32">
        <f>(CPI!$B$112/O989)*X989</f>
        <v>28194.503828900517</v>
      </c>
      <c r="Z989" s="38" t="s">
        <v>262</v>
      </c>
      <c r="AA989" s="35" t="s">
        <v>1412</v>
      </c>
      <c r="AB989" s="32">
        <v>38293</v>
      </c>
      <c r="AC989" s="35" t="s">
        <v>1412</v>
      </c>
      <c r="AH989" s="32" t="s">
        <v>411</v>
      </c>
      <c r="AJ989" s="35" t="s">
        <v>2278</v>
      </c>
      <c r="AK989" s="40" t="s">
        <v>1574</v>
      </c>
      <c r="AL989" s="32">
        <v>2013</v>
      </c>
      <c r="AM989" s="32" t="s">
        <v>1575</v>
      </c>
      <c r="AN989" s="32" t="s">
        <v>1576</v>
      </c>
      <c r="AO989" s="38" t="s">
        <v>1577</v>
      </c>
      <c r="AP989" s="35" t="s">
        <v>396</v>
      </c>
    </row>
    <row r="990" spans="1:42" x14ac:dyDescent="0.2">
      <c r="A990" s="40">
        <v>103</v>
      </c>
      <c r="B990" s="40">
        <v>989</v>
      </c>
      <c r="C990" s="40" t="s">
        <v>149</v>
      </c>
      <c r="D990" s="38" t="s">
        <v>148</v>
      </c>
      <c r="E990" s="32" t="s">
        <v>2184</v>
      </c>
      <c r="F990" s="32" t="s">
        <v>131</v>
      </c>
      <c r="G990" s="38" t="s">
        <v>133</v>
      </c>
      <c r="H990" s="32" t="s">
        <v>242</v>
      </c>
      <c r="I990" s="32" t="s">
        <v>243</v>
      </c>
      <c r="J990" s="32" t="s">
        <v>1567</v>
      </c>
      <c r="K990" s="32" t="s">
        <v>1513</v>
      </c>
      <c r="L990" s="32" t="s">
        <v>30</v>
      </c>
      <c r="M990" s="32" t="s">
        <v>30</v>
      </c>
      <c r="N990" s="40">
        <v>2011</v>
      </c>
      <c r="O990" s="32">
        <f>VLOOKUP(Data!N727, CPI!$A$2:$B$112, 2, 0)</f>
        <v>237.017</v>
      </c>
      <c r="P990" s="32" t="s">
        <v>132</v>
      </c>
      <c r="Q990" s="32" t="s">
        <v>239</v>
      </c>
      <c r="R990" s="32" t="s">
        <v>530</v>
      </c>
      <c r="S990" s="32">
        <v>7734790</v>
      </c>
      <c r="T990" s="32" t="s">
        <v>300</v>
      </c>
      <c r="U990" s="32">
        <f t="shared" si="58"/>
        <v>219.33333333333334</v>
      </c>
      <c r="V990" s="32" t="s">
        <v>316</v>
      </c>
      <c r="X990" s="32">
        <f t="shared" si="59"/>
        <v>219.33333333333334</v>
      </c>
      <c r="Y990" s="32">
        <f>(CPI!$B$112/O990)*X990</f>
        <v>281.94503840090238</v>
      </c>
      <c r="Z990" s="38" t="s">
        <v>262</v>
      </c>
      <c r="AA990" s="35" t="s">
        <v>1412</v>
      </c>
      <c r="AB990" s="32">
        <v>35265</v>
      </c>
      <c r="AC990" s="35" t="s">
        <v>1412</v>
      </c>
      <c r="AH990" s="32" t="s">
        <v>411</v>
      </c>
      <c r="AJ990" s="35" t="s">
        <v>2278</v>
      </c>
      <c r="AK990" s="40" t="s">
        <v>1574</v>
      </c>
      <c r="AL990" s="32">
        <v>2013</v>
      </c>
      <c r="AM990" s="32" t="s">
        <v>1575</v>
      </c>
      <c r="AN990" s="32" t="s">
        <v>1576</v>
      </c>
      <c r="AO990" s="38" t="s">
        <v>1577</v>
      </c>
      <c r="AP990" s="35" t="s">
        <v>396</v>
      </c>
    </row>
    <row r="991" spans="1:42" x14ac:dyDescent="0.2">
      <c r="A991" s="40">
        <v>103</v>
      </c>
      <c r="B991" s="40">
        <v>990</v>
      </c>
      <c r="C991" s="40" t="s">
        <v>149</v>
      </c>
      <c r="D991" s="38" t="s">
        <v>148</v>
      </c>
      <c r="E991" s="32" t="s">
        <v>2183</v>
      </c>
      <c r="F991" s="32" t="s">
        <v>126</v>
      </c>
      <c r="G991" s="38" t="s">
        <v>152</v>
      </c>
      <c r="H991" s="32" t="s">
        <v>242</v>
      </c>
      <c r="I991" s="32" t="s">
        <v>243</v>
      </c>
      <c r="J991" s="32" t="s">
        <v>1567</v>
      </c>
      <c r="K991" s="32" t="s">
        <v>1513</v>
      </c>
      <c r="L991" s="32" t="s">
        <v>30</v>
      </c>
      <c r="M991" s="32" t="s">
        <v>30</v>
      </c>
      <c r="N991" s="40">
        <v>2011</v>
      </c>
      <c r="O991" s="32">
        <f>VLOOKUP(Data!N728, CPI!$A$2:$B$112, 2, 0)</f>
        <v>237.017</v>
      </c>
      <c r="P991" s="32" t="s">
        <v>132</v>
      </c>
      <c r="Q991" s="32" t="s">
        <v>239</v>
      </c>
      <c r="R991" s="32" t="s">
        <v>1572</v>
      </c>
      <c r="S991" s="32">
        <v>12727623</v>
      </c>
      <c r="T991" s="32" t="s">
        <v>300</v>
      </c>
      <c r="U991" s="32">
        <f t="shared" si="58"/>
        <v>360.91373883453849</v>
      </c>
      <c r="V991" s="32" t="s">
        <v>316</v>
      </c>
      <c r="X991" s="32">
        <f t="shared" si="59"/>
        <v>360.91373883453849</v>
      </c>
      <c r="Y991" s="32">
        <f>(CPI!$B$112/O991)*X991</f>
        <v>463.94151043366503</v>
      </c>
      <c r="Z991" s="38" t="s">
        <v>262</v>
      </c>
      <c r="AA991" s="35" t="s">
        <v>1573</v>
      </c>
      <c r="AB991" s="32">
        <v>35265</v>
      </c>
      <c r="AC991" s="32" t="s">
        <v>1448</v>
      </c>
      <c r="AH991" s="32" t="s">
        <v>411</v>
      </c>
      <c r="AJ991" s="35" t="s">
        <v>2278</v>
      </c>
      <c r="AK991" s="40" t="s">
        <v>1574</v>
      </c>
      <c r="AL991" s="32">
        <v>2013</v>
      </c>
      <c r="AM991" s="32" t="s">
        <v>1575</v>
      </c>
      <c r="AN991" s="32" t="s">
        <v>1576</v>
      </c>
      <c r="AO991" s="38" t="s">
        <v>1577</v>
      </c>
      <c r="AP991" s="35" t="s">
        <v>396</v>
      </c>
    </row>
    <row r="992" spans="1:42" x14ac:dyDescent="0.2">
      <c r="A992" s="40">
        <v>103</v>
      </c>
      <c r="B992" s="40">
        <v>991</v>
      </c>
      <c r="C992" s="40" t="s">
        <v>149</v>
      </c>
      <c r="D992" s="38" t="s">
        <v>148</v>
      </c>
      <c r="E992" s="32" t="s">
        <v>2184</v>
      </c>
      <c r="F992" s="32" t="s">
        <v>145</v>
      </c>
      <c r="G992" s="35" t="s">
        <v>146</v>
      </c>
      <c r="H992" s="32" t="s">
        <v>242</v>
      </c>
      <c r="I992" s="32" t="s">
        <v>243</v>
      </c>
      <c r="J992" s="32" t="s">
        <v>1567</v>
      </c>
      <c r="K992" s="32" t="s">
        <v>1513</v>
      </c>
      <c r="L992" s="32" t="s">
        <v>30</v>
      </c>
      <c r="M992" s="32" t="s">
        <v>30</v>
      </c>
      <c r="N992" s="40">
        <v>2011</v>
      </c>
      <c r="O992" s="32">
        <f>VLOOKUP(Data!N729, CPI!$A$2:$B$112, 2, 0)</f>
        <v>237.017</v>
      </c>
      <c r="P992" s="32" t="s">
        <v>245</v>
      </c>
      <c r="Q992" s="32" t="s">
        <v>239</v>
      </c>
      <c r="R992" s="32" t="s">
        <v>1436</v>
      </c>
      <c r="S992" s="32">
        <v>149217542</v>
      </c>
      <c r="T992" s="32" t="s">
        <v>300</v>
      </c>
      <c r="U992" s="32">
        <f t="shared" si="58"/>
        <v>11690.5</v>
      </c>
      <c r="V992" s="32" t="s">
        <v>316</v>
      </c>
      <c r="X992" s="32">
        <f t="shared" si="59"/>
        <v>11690.5</v>
      </c>
      <c r="Y992" s="32">
        <f>(CPI!$B$112/O992)*X992</f>
        <v>15027.713395558127</v>
      </c>
      <c r="Z992" s="38" t="s">
        <v>262</v>
      </c>
      <c r="AA992" s="35" t="s">
        <v>1446</v>
      </c>
      <c r="AB992" s="32">
        <v>12764</v>
      </c>
      <c r="AC992" s="32" t="s">
        <v>1446</v>
      </c>
      <c r="AH992" s="32" t="s">
        <v>411</v>
      </c>
      <c r="AJ992" s="35" t="s">
        <v>2278</v>
      </c>
      <c r="AK992" s="40" t="s">
        <v>1574</v>
      </c>
      <c r="AL992" s="32">
        <v>2013</v>
      </c>
      <c r="AM992" s="32" t="s">
        <v>1575</v>
      </c>
      <c r="AN992" s="32" t="s">
        <v>1576</v>
      </c>
      <c r="AO992" s="38" t="s">
        <v>1577</v>
      </c>
      <c r="AP992" s="35" t="s">
        <v>396</v>
      </c>
    </row>
    <row r="993" spans="1:42" x14ac:dyDescent="0.2">
      <c r="A993" s="40">
        <v>103</v>
      </c>
      <c r="B993" s="40">
        <v>992</v>
      </c>
      <c r="C993" s="40" t="s">
        <v>149</v>
      </c>
      <c r="D993" s="38" t="s">
        <v>148</v>
      </c>
      <c r="E993" s="32" t="s">
        <v>2184</v>
      </c>
      <c r="F993" s="32" t="s">
        <v>145</v>
      </c>
      <c r="G993" s="38" t="s">
        <v>146</v>
      </c>
      <c r="H993" s="32" t="s">
        <v>242</v>
      </c>
      <c r="I993" s="32" t="s">
        <v>243</v>
      </c>
      <c r="J993" s="32" t="s">
        <v>1567</v>
      </c>
      <c r="K993" s="32" t="s">
        <v>1513</v>
      </c>
      <c r="L993" s="32" t="s">
        <v>30</v>
      </c>
      <c r="M993" s="32" t="s">
        <v>30</v>
      </c>
      <c r="N993" s="40">
        <v>2011</v>
      </c>
      <c r="O993" s="32">
        <f>VLOOKUP(Data!N730, CPI!$A$2:$B$112, 2, 0)</f>
        <v>237.017</v>
      </c>
      <c r="P993" s="32" t="s">
        <v>245</v>
      </c>
      <c r="Q993" s="32" t="s">
        <v>239</v>
      </c>
      <c r="R993" s="32" t="s">
        <v>1436</v>
      </c>
      <c r="S993" s="32">
        <v>137421827</v>
      </c>
      <c r="T993" s="32" t="s">
        <v>300</v>
      </c>
      <c r="U993" s="32">
        <f t="shared" si="58"/>
        <v>11690.499957464908</v>
      </c>
      <c r="V993" s="32" t="s">
        <v>316</v>
      </c>
      <c r="X993" s="32">
        <f t="shared" si="59"/>
        <v>11690.499957464908</v>
      </c>
      <c r="Y993" s="32">
        <f>(CPI!$B$112/O993)*X993</f>
        <v>15027.713340880809</v>
      </c>
      <c r="Z993" s="38" t="s">
        <v>262</v>
      </c>
      <c r="AA993" s="35" t="s">
        <v>1446</v>
      </c>
      <c r="AB993" s="32">
        <v>11755</v>
      </c>
      <c r="AC993" s="32" t="s">
        <v>1446</v>
      </c>
      <c r="AH993" s="32" t="s">
        <v>411</v>
      </c>
      <c r="AJ993" s="35" t="s">
        <v>2278</v>
      </c>
      <c r="AK993" s="40" t="s">
        <v>1574</v>
      </c>
      <c r="AL993" s="32">
        <v>2013</v>
      </c>
      <c r="AM993" s="32" t="s">
        <v>1575</v>
      </c>
      <c r="AN993" s="32" t="s">
        <v>1576</v>
      </c>
      <c r="AO993" s="38" t="s">
        <v>1577</v>
      </c>
      <c r="AP993" s="35" t="s">
        <v>396</v>
      </c>
    </row>
    <row r="994" spans="1:42" x14ac:dyDescent="0.2">
      <c r="A994" s="40">
        <v>104</v>
      </c>
      <c r="B994" s="40">
        <v>993</v>
      </c>
      <c r="C994" s="40" t="s">
        <v>149</v>
      </c>
      <c r="D994" s="38" t="s">
        <v>148</v>
      </c>
      <c r="E994" s="32" t="s">
        <v>2183</v>
      </c>
      <c r="F994" s="32" t="s">
        <v>237</v>
      </c>
      <c r="G994" s="38" t="s">
        <v>154</v>
      </c>
      <c r="H994" s="32" t="s">
        <v>151</v>
      </c>
      <c r="I994" s="32" t="s">
        <v>243</v>
      </c>
      <c r="J994" s="32" t="s">
        <v>1581</v>
      </c>
      <c r="K994" s="32" t="s">
        <v>1513</v>
      </c>
      <c r="L994" s="32" t="s">
        <v>30</v>
      </c>
      <c r="M994" s="32" t="s">
        <v>30</v>
      </c>
      <c r="N994" s="40">
        <v>2018</v>
      </c>
      <c r="O994" s="32">
        <f>VLOOKUP(Data!N731, CPI!$A$2:$B$112, 2, 0)</f>
        <v>237.017</v>
      </c>
      <c r="P994" s="32" t="s">
        <v>7</v>
      </c>
      <c r="Q994" s="32" t="s">
        <v>239</v>
      </c>
      <c r="R994" s="32" t="s">
        <v>1578</v>
      </c>
      <c r="S994" s="32">
        <v>786</v>
      </c>
      <c r="T994" s="32" t="s">
        <v>316</v>
      </c>
      <c r="U994" s="32">
        <v>786</v>
      </c>
      <c r="V994" s="32" t="s">
        <v>316</v>
      </c>
      <c r="X994" s="32">
        <f t="shared" si="59"/>
        <v>786</v>
      </c>
      <c r="Y994" s="32">
        <f>(CPI!$B$112/O994)*X994</f>
        <v>1010.374468919951</v>
      </c>
      <c r="Z994" s="38" t="s">
        <v>262</v>
      </c>
      <c r="AA994" s="35" t="s">
        <v>1464</v>
      </c>
      <c r="AB994" s="32" t="s">
        <v>30</v>
      </c>
      <c r="AH994" s="32" t="s">
        <v>411</v>
      </c>
      <c r="AK994" s="40" t="s">
        <v>1582</v>
      </c>
      <c r="AL994" s="32">
        <v>2022</v>
      </c>
      <c r="AM994" s="32" t="s">
        <v>1583</v>
      </c>
      <c r="AN994" s="32" t="s">
        <v>1584</v>
      </c>
      <c r="AO994" s="38" t="s">
        <v>1585</v>
      </c>
      <c r="AP994" s="35" t="s">
        <v>396</v>
      </c>
    </row>
    <row r="995" spans="1:42" x14ac:dyDescent="0.2">
      <c r="A995" s="40">
        <v>104</v>
      </c>
      <c r="B995" s="40">
        <v>994</v>
      </c>
      <c r="C995" s="40" t="s">
        <v>149</v>
      </c>
      <c r="D995" s="38" t="s">
        <v>148</v>
      </c>
      <c r="E995" s="32" t="s">
        <v>2183</v>
      </c>
      <c r="F995" s="32" t="s">
        <v>237</v>
      </c>
      <c r="G995" s="38" t="s">
        <v>154</v>
      </c>
      <c r="H995" s="32" t="s">
        <v>151</v>
      </c>
      <c r="I995" s="32" t="s">
        <v>243</v>
      </c>
      <c r="J995" s="32" t="s">
        <v>1581</v>
      </c>
      <c r="K995" s="32" t="s">
        <v>1513</v>
      </c>
      <c r="L995" s="32" t="s">
        <v>30</v>
      </c>
      <c r="M995" s="32" t="s">
        <v>30</v>
      </c>
      <c r="N995" s="40">
        <v>2018</v>
      </c>
      <c r="O995" s="32">
        <f>VLOOKUP(Data!N732, CPI!$A$2:$B$112, 2, 0)</f>
        <v>237.017</v>
      </c>
      <c r="P995" s="32" t="s">
        <v>7</v>
      </c>
      <c r="Q995" s="32" t="s">
        <v>239</v>
      </c>
      <c r="R995" s="32" t="s">
        <v>1579</v>
      </c>
      <c r="S995" s="32">
        <v>943</v>
      </c>
      <c r="T995" s="32" t="s">
        <v>316</v>
      </c>
      <c r="U995" s="32">
        <v>943</v>
      </c>
      <c r="V995" s="32" t="s">
        <v>316</v>
      </c>
      <c r="X995" s="32">
        <f t="shared" si="59"/>
        <v>943</v>
      </c>
      <c r="Y995" s="32">
        <f>(CPI!$B$112/O995)*X995</f>
        <v>1212.192269963758</v>
      </c>
      <c r="Z995" s="38" t="s">
        <v>262</v>
      </c>
      <c r="AA995" s="35" t="s">
        <v>1464</v>
      </c>
      <c r="AB995" s="32" t="s">
        <v>30</v>
      </c>
      <c r="AH995" s="32" t="s">
        <v>411</v>
      </c>
      <c r="AK995" s="40" t="s">
        <v>1582</v>
      </c>
      <c r="AL995" s="32">
        <v>2022</v>
      </c>
      <c r="AM995" s="32" t="s">
        <v>1583</v>
      </c>
      <c r="AN995" s="32" t="s">
        <v>1584</v>
      </c>
      <c r="AO995" s="38" t="s">
        <v>1585</v>
      </c>
      <c r="AP995" s="35" t="s">
        <v>396</v>
      </c>
    </row>
    <row r="996" spans="1:42" x14ac:dyDescent="0.2">
      <c r="A996" s="40">
        <v>104</v>
      </c>
      <c r="B996" s="40">
        <v>995</v>
      </c>
      <c r="C996" s="40" t="s">
        <v>149</v>
      </c>
      <c r="D996" s="38" t="s">
        <v>148</v>
      </c>
      <c r="E996" s="32" t="s">
        <v>2183</v>
      </c>
      <c r="F996" s="32" t="s">
        <v>237</v>
      </c>
      <c r="G996" s="38" t="s">
        <v>154</v>
      </c>
      <c r="H996" s="32" t="s">
        <v>151</v>
      </c>
      <c r="I996" s="32" t="s">
        <v>243</v>
      </c>
      <c r="J996" s="32" t="s">
        <v>1581</v>
      </c>
      <c r="K996" s="32" t="s">
        <v>1513</v>
      </c>
      <c r="L996" s="32" t="s">
        <v>30</v>
      </c>
      <c r="M996" s="32" t="s">
        <v>30</v>
      </c>
      <c r="N996" s="40">
        <v>2018</v>
      </c>
      <c r="O996" s="32">
        <f>VLOOKUP(Data!N733, CPI!$A$2:$B$112, 2, 0)</f>
        <v>237.017</v>
      </c>
      <c r="P996" s="32" t="s">
        <v>7</v>
      </c>
      <c r="Q996" s="32" t="s">
        <v>239</v>
      </c>
      <c r="R996" s="32" t="s">
        <v>1580</v>
      </c>
      <c r="S996" s="32">
        <v>1638</v>
      </c>
      <c r="T996" s="32" t="s">
        <v>316</v>
      </c>
      <c r="U996" s="32">
        <v>1638</v>
      </c>
      <c r="V996" s="32" t="s">
        <v>316</v>
      </c>
      <c r="X996" s="32">
        <f t="shared" si="59"/>
        <v>1638</v>
      </c>
      <c r="Y996" s="32">
        <f>(CPI!$B$112/O996)*X996</f>
        <v>2105.5895421003561</v>
      </c>
      <c r="Z996" s="38" t="s">
        <v>262</v>
      </c>
      <c r="AA996" s="35" t="s">
        <v>1464</v>
      </c>
      <c r="AB996" s="32" t="s">
        <v>30</v>
      </c>
      <c r="AH996" s="32" t="s">
        <v>411</v>
      </c>
      <c r="AK996" s="40" t="s">
        <v>1582</v>
      </c>
      <c r="AL996" s="32">
        <v>2022</v>
      </c>
      <c r="AM996" s="32" t="s">
        <v>1583</v>
      </c>
      <c r="AN996" s="32" t="s">
        <v>1584</v>
      </c>
      <c r="AO996" s="38" t="s">
        <v>1585</v>
      </c>
      <c r="AP996" s="35" t="s">
        <v>396</v>
      </c>
    </row>
    <row r="997" spans="1:42" x14ac:dyDescent="0.2">
      <c r="A997" s="40">
        <v>104</v>
      </c>
      <c r="B997" s="40">
        <v>996</v>
      </c>
      <c r="C997" s="40" t="s">
        <v>149</v>
      </c>
      <c r="D997" s="38" t="s">
        <v>148</v>
      </c>
      <c r="E997" s="32" t="s">
        <v>2183</v>
      </c>
      <c r="F997" s="32" t="s">
        <v>237</v>
      </c>
      <c r="G997" s="38" t="s">
        <v>154</v>
      </c>
      <c r="H997" s="32" t="s">
        <v>151</v>
      </c>
      <c r="I997" s="32" t="s">
        <v>243</v>
      </c>
      <c r="J997" s="32" t="s">
        <v>1581</v>
      </c>
      <c r="K997" s="32" t="s">
        <v>1513</v>
      </c>
      <c r="L997" s="32" t="s">
        <v>30</v>
      </c>
      <c r="M997" s="32" t="s">
        <v>30</v>
      </c>
      <c r="N997" s="40">
        <v>2018</v>
      </c>
      <c r="O997" s="32">
        <f>VLOOKUP(Data!N734, CPI!$A$2:$B$112, 2, 0)</f>
        <v>237.017</v>
      </c>
      <c r="P997" s="32" t="s">
        <v>7</v>
      </c>
      <c r="Q997" s="32" t="s">
        <v>239</v>
      </c>
      <c r="R997" s="32" t="s">
        <v>2576</v>
      </c>
      <c r="S997" s="32">
        <v>1019</v>
      </c>
      <c r="T997" s="32" t="s">
        <v>316</v>
      </c>
      <c r="U997" s="32">
        <v>1019</v>
      </c>
      <c r="V997" s="32" t="s">
        <v>316</v>
      </c>
      <c r="X997" s="32">
        <f t="shared" si="59"/>
        <v>1019</v>
      </c>
      <c r="Y997" s="32">
        <f>(CPI!$B$112/O997)*X997</f>
        <v>1309.8875112333715</v>
      </c>
      <c r="Z997" s="38" t="s">
        <v>262</v>
      </c>
      <c r="AA997" s="35" t="s">
        <v>2577</v>
      </c>
      <c r="AB997" s="32">
        <v>19000</v>
      </c>
      <c r="AC997" s="32" t="s">
        <v>2578</v>
      </c>
      <c r="AH997" s="32" t="s">
        <v>411</v>
      </c>
      <c r="AK997" s="40" t="s">
        <v>1582</v>
      </c>
      <c r="AL997" s="32">
        <v>2022</v>
      </c>
      <c r="AM997" s="32" t="s">
        <v>1583</v>
      </c>
      <c r="AN997" s="32" t="s">
        <v>1584</v>
      </c>
      <c r="AO997" s="38" t="s">
        <v>1585</v>
      </c>
      <c r="AP997" s="35" t="s">
        <v>396</v>
      </c>
    </row>
    <row r="998" spans="1:42" x14ac:dyDescent="0.2">
      <c r="A998" s="40">
        <v>106</v>
      </c>
      <c r="B998" s="40">
        <v>997</v>
      </c>
      <c r="C998" s="40" t="s">
        <v>119</v>
      </c>
      <c r="D998" s="38" t="s">
        <v>128</v>
      </c>
      <c r="E998" s="32" t="s">
        <v>2186</v>
      </c>
      <c r="F998" s="32" t="s">
        <v>29</v>
      </c>
      <c r="G998" s="38" t="s">
        <v>29</v>
      </c>
      <c r="H998" s="32" t="s">
        <v>242</v>
      </c>
      <c r="I998" s="32" t="s">
        <v>137</v>
      </c>
      <c r="J998" s="32" t="s">
        <v>1513</v>
      </c>
      <c r="K998" s="32" t="s">
        <v>1513</v>
      </c>
      <c r="L998" s="32" t="s">
        <v>30</v>
      </c>
      <c r="M998" s="32" t="s">
        <v>30</v>
      </c>
      <c r="N998" s="40">
        <v>2011</v>
      </c>
      <c r="O998" s="32">
        <f>VLOOKUP(Data!N735, CPI!$A$2:$B$112, 2, 0)</f>
        <v>237.017</v>
      </c>
      <c r="P998" s="32" t="s">
        <v>56</v>
      </c>
      <c r="Q998" s="32" t="s">
        <v>239</v>
      </c>
      <c r="R998" s="32" t="s">
        <v>1587</v>
      </c>
      <c r="S998" s="32">
        <v>2.4</v>
      </c>
      <c r="T998" s="32" t="s">
        <v>316</v>
      </c>
      <c r="U998" s="32">
        <v>2.4</v>
      </c>
      <c r="V998" s="32" t="s">
        <v>316</v>
      </c>
      <c r="X998" s="32">
        <f t="shared" si="59"/>
        <v>2.4</v>
      </c>
      <c r="Y998" s="32">
        <f>(CPI!$B$112/O998)*X998</f>
        <v>3.0851128821983234</v>
      </c>
      <c r="Z998" s="38" t="s">
        <v>262</v>
      </c>
      <c r="AA998" s="35" t="s">
        <v>1586</v>
      </c>
      <c r="AB998" s="32" t="s">
        <v>30</v>
      </c>
      <c r="AH998" s="32" t="s">
        <v>411</v>
      </c>
      <c r="AK998" s="40" t="s">
        <v>1592</v>
      </c>
      <c r="AL998" s="32">
        <v>2016</v>
      </c>
      <c r="AM998" s="32" t="s">
        <v>1593</v>
      </c>
      <c r="AN998" s="32" t="s">
        <v>1594</v>
      </c>
      <c r="AO998" s="38" t="s">
        <v>1595</v>
      </c>
      <c r="AP998" s="35" t="s">
        <v>396</v>
      </c>
    </row>
    <row r="999" spans="1:42" x14ac:dyDescent="0.2">
      <c r="A999" s="40">
        <v>106</v>
      </c>
      <c r="B999" s="40">
        <v>998</v>
      </c>
      <c r="C999" s="40" t="s">
        <v>119</v>
      </c>
      <c r="D999" s="38" t="s">
        <v>128</v>
      </c>
      <c r="E999" s="32" t="s">
        <v>2186</v>
      </c>
      <c r="F999" s="32" t="s">
        <v>29</v>
      </c>
      <c r="G999" s="38" t="s">
        <v>29</v>
      </c>
      <c r="H999" s="32" t="s">
        <v>242</v>
      </c>
      <c r="I999" s="32" t="s">
        <v>61</v>
      </c>
      <c r="J999" s="32" t="s">
        <v>1588</v>
      </c>
      <c r="K999" s="32" t="s">
        <v>1513</v>
      </c>
      <c r="L999" s="32" t="s">
        <v>30</v>
      </c>
      <c r="M999" s="32" t="s">
        <v>30</v>
      </c>
      <c r="N999" s="40">
        <v>2014</v>
      </c>
      <c r="O999" s="32">
        <f>VLOOKUP(Data!N736, CPI!$A$2:$B$112, 2, 0)</f>
        <v>255.65700000000001</v>
      </c>
      <c r="P999" s="32" t="s">
        <v>56</v>
      </c>
      <c r="Q999" s="32" t="s">
        <v>239</v>
      </c>
      <c r="R999" s="32" t="s">
        <v>1587</v>
      </c>
      <c r="S999" s="32">
        <v>3</v>
      </c>
      <c r="T999" s="32" t="s">
        <v>316</v>
      </c>
      <c r="U999" s="32">
        <v>3</v>
      </c>
      <c r="V999" s="32" t="s">
        <v>316</v>
      </c>
      <c r="X999" s="32">
        <f t="shared" si="59"/>
        <v>3</v>
      </c>
      <c r="Y999" s="32">
        <f>(CPI!$B$112/O999)*X999</f>
        <v>3.575220901442167</v>
      </c>
      <c r="Z999" s="38" t="s">
        <v>262</v>
      </c>
      <c r="AA999" s="35" t="s">
        <v>1591</v>
      </c>
      <c r="AB999" s="32">
        <v>77900</v>
      </c>
      <c r="AC999" s="32" t="s">
        <v>2579</v>
      </c>
      <c r="AH999" s="32" t="s">
        <v>411</v>
      </c>
      <c r="AK999" s="40" t="s">
        <v>1592</v>
      </c>
      <c r="AL999" s="32">
        <v>2016</v>
      </c>
      <c r="AM999" s="32" t="s">
        <v>1593</v>
      </c>
      <c r="AN999" s="32" t="s">
        <v>1594</v>
      </c>
      <c r="AO999" s="38" t="s">
        <v>1595</v>
      </c>
      <c r="AP999" s="35" t="s">
        <v>396</v>
      </c>
    </row>
    <row r="1000" spans="1:42" x14ac:dyDescent="0.2">
      <c r="A1000" s="40">
        <v>106</v>
      </c>
      <c r="B1000" s="40">
        <v>999</v>
      </c>
      <c r="C1000" s="40" t="s">
        <v>119</v>
      </c>
      <c r="D1000" s="38" t="s">
        <v>128</v>
      </c>
      <c r="E1000" s="32" t="s">
        <v>2186</v>
      </c>
      <c r="F1000" s="32" t="s">
        <v>29</v>
      </c>
      <c r="G1000" s="38" t="s">
        <v>29</v>
      </c>
      <c r="H1000" s="32" t="s">
        <v>242</v>
      </c>
      <c r="I1000" s="32" t="s">
        <v>120</v>
      </c>
      <c r="J1000" s="32" t="s">
        <v>1319</v>
      </c>
      <c r="K1000" s="32" t="s">
        <v>1513</v>
      </c>
      <c r="L1000" s="32" t="s">
        <v>30</v>
      </c>
      <c r="M1000" s="32" t="s">
        <v>30</v>
      </c>
      <c r="N1000" s="40">
        <v>2014</v>
      </c>
      <c r="O1000" s="32">
        <f>VLOOKUP(Data!N737, CPI!$A$2:$B$112, 2, 0)</f>
        <v>255.65700000000001</v>
      </c>
      <c r="P1000" s="32" t="s">
        <v>56</v>
      </c>
      <c r="Q1000" s="32" t="s">
        <v>239</v>
      </c>
      <c r="R1000" s="32" t="s">
        <v>1587</v>
      </c>
      <c r="S1000" s="32">
        <v>10</v>
      </c>
      <c r="T1000" s="32" t="s">
        <v>316</v>
      </c>
      <c r="U1000" s="32">
        <v>10</v>
      </c>
      <c r="V1000" s="32" t="s">
        <v>316</v>
      </c>
      <c r="X1000" s="32">
        <f t="shared" si="59"/>
        <v>10</v>
      </c>
      <c r="Y1000" s="32">
        <f>(CPI!$B$112/O1000)*X1000</f>
        <v>11.917403004807223</v>
      </c>
      <c r="Z1000" s="38" t="s">
        <v>262</v>
      </c>
      <c r="AA1000" s="35" t="s">
        <v>1591</v>
      </c>
      <c r="AB1000" s="32" t="s">
        <v>30</v>
      </c>
      <c r="AH1000" s="32" t="s">
        <v>411</v>
      </c>
      <c r="AK1000" s="40" t="s">
        <v>1592</v>
      </c>
      <c r="AL1000" s="32">
        <v>2016</v>
      </c>
      <c r="AM1000" s="32" t="s">
        <v>1593</v>
      </c>
      <c r="AN1000" s="32" t="s">
        <v>1594</v>
      </c>
      <c r="AO1000" s="38" t="s">
        <v>1595</v>
      </c>
      <c r="AP1000" s="35" t="s">
        <v>396</v>
      </c>
    </row>
    <row r="1001" spans="1:42" x14ac:dyDescent="0.2">
      <c r="A1001" s="40">
        <v>106</v>
      </c>
      <c r="B1001" s="40">
        <v>1000</v>
      </c>
      <c r="C1001" s="40" t="s">
        <v>39</v>
      </c>
      <c r="D1001" s="38" t="s">
        <v>38</v>
      </c>
      <c r="E1001" s="32" t="s">
        <v>2183</v>
      </c>
      <c r="F1001" s="32" t="s">
        <v>237</v>
      </c>
      <c r="G1001" s="36" t="s">
        <v>2907</v>
      </c>
      <c r="H1001" s="32" t="s">
        <v>151</v>
      </c>
      <c r="I1001" s="32" t="s">
        <v>61</v>
      </c>
      <c r="J1001" s="32" t="s">
        <v>1588</v>
      </c>
      <c r="K1001" s="32" t="s">
        <v>1513</v>
      </c>
      <c r="L1001" s="32" t="s">
        <v>30</v>
      </c>
      <c r="M1001" s="32" t="s">
        <v>30</v>
      </c>
      <c r="N1001" s="40">
        <v>2014</v>
      </c>
      <c r="O1001" s="32">
        <f>VLOOKUP(Data!N738, CPI!$A$2:$B$112, 2, 0)</f>
        <v>255.65700000000001</v>
      </c>
      <c r="P1001" s="32" t="s">
        <v>7</v>
      </c>
      <c r="Q1001" s="32" t="s">
        <v>239</v>
      </c>
      <c r="R1001" s="32" t="s">
        <v>1590</v>
      </c>
      <c r="S1001" s="32">
        <v>353</v>
      </c>
      <c r="T1001" s="32" t="s">
        <v>316</v>
      </c>
      <c r="U1001" s="32">
        <v>353</v>
      </c>
      <c r="V1001" s="32" t="s">
        <v>316</v>
      </c>
      <c r="X1001" s="32">
        <f t="shared" si="59"/>
        <v>353</v>
      </c>
      <c r="Y1001" s="32">
        <f>(CPI!$B$112/O1001)*X1001</f>
        <v>420.68432606969498</v>
      </c>
      <c r="Z1001" s="38" t="s">
        <v>262</v>
      </c>
      <c r="AA1001" s="35" t="s">
        <v>1464</v>
      </c>
      <c r="AB1001" s="32">
        <v>77900</v>
      </c>
      <c r="AC1001" s="32" t="s">
        <v>2579</v>
      </c>
      <c r="AH1001" s="32" t="s">
        <v>411</v>
      </c>
      <c r="AK1001" s="40" t="s">
        <v>1592</v>
      </c>
      <c r="AL1001" s="32">
        <v>2016</v>
      </c>
      <c r="AM1001" s="32" t="s">
        <v>1593</v>
      </c>
      <c r="AN1001" s="32" t="s">
        <v>1594</v>
      </c>
      <c r="AO1001" s="38" t="s">
        <v>1595</v>
      </c>
      <c r="AP1001" s="35" t="s">
        <v>396</v>
      </c>
    </row>
    <row r="1002" spans="1:42" x14ac:dyDescent="0.2">
      <c r="A1002" s="40">
        <v>106</v>
      </c>
      <c r="B1002" s="40">
        <v>1001</v>
      </c>
      <c r="C1002" s="40" t="s">
        <v>39</v>
      </c>
      <c r="D1002" s="38" t="s">
        <v>38</v>
      </c>
      <c r="E1002" s="32" t="s">
        <v>2183</v>
      </c>
      <c r="F1002" s="32" t="s">
        <v>237</v>
      </c>
      <c r="G1002" s="38" t="s">
        <v>1923</v>
      </c>
      <c r="H1002" s="32" t="s">
        <v>151</v>
      </c>
      <c r="I1002" s="32" t="s">
        <v>61</v>
      </c>
      <c r="J1002" s="32" t="s">
        <v>1589</v>
      </c>
      <c r="K1002" s="32" t="s">
        <v>1513</v>
      </c>
      <c r="L1002" s="32" t="s">
        <v>30</v>
      </c>
      <c r="M1002" s="32" t="s">
        <v>30</v>
      </c>
      <c r="N1002" s="40">
        <v>2014</v>
      </c>
      <c r="O1002" s="32">
        <f>VLOOKUP(Data!N739, CPI!$A$2:$B$112, 2, 0)</f>
        <v>255.65700000000001</v>
      </c>
      <c r="P1002" s="32" t="s">
        <v>7</v>
      </c>
      <c r="Q1002" s="32" t="s">
        <v>239</v>
      </c>
      <c r="R1002" s="32" t="s">
        <v>1590</v>
      </c>
      <c r="S1002" s="32">
        <v>964</v>
      </c>
      <c r="T1002" s="32" t="s">
        <v>316</v>
      </c>
      <c r="U1002" s="32">
        <v>964</v>
      </c>
      <c r="V1002" s="32" t="s">
        <v>316</v>
      </c>
      <c r="X1002" s="32">
        <f t="shared" si="59"/>
        <v>964</v>
      </c>
      <c r="Y1002" s="32">
        <f>(CPI!$B$112/O1002)*X1002</f>
        <v>1148.8376496634164</v>
      </c>
      <c r="Z1002" s="38" t="s">
        <v>262</v>
      </c>
      <c r="AA1002" s="35" t="s">
        <v>1464</v>
      </c>
      <c r="AB1002" s="32">
        <v>24454</v>
      </c>
      <c r="AC1002" s="32" t="s">
        <v>1449</v>
      </c>
      <c r="AH1002" s="32" t="s">
        <v>411</v>
      </c>
      <c r="AK1002" s="40" t="s">
        <v>1592</v>
      </c>
      <c r="AL1002" s="32">
        <v>2016</v>
      </c>
      <c r="AM1002" s="32" t="s">
        <v>1593</v>
      </c>
      <c r="AN1002" s="32" t="s">
        <v>1594</v>
      </c>
      <c r="AO1002" s="38" t="s">
        <v>1595</v>
      </c>
      <c r="AP1002" s="35" t="s">
        <v>396</v>
      </c>
    </row>
    <row r="1003" spans="1:42" x14ac:dyDescent="0.2">
      <c r="A1003" s="40">
        <v>106</v>
      </c>
      <c r="B1003" s="40">
        <v>1002</v>
      </c>
      <c r="C1003" s="40" t="s">
        <v>39</v>
      </c>
      <c r="D1003" s="38" t="s">
        <v>38</v>
      </c>
      <c r="E1003" s="32" t="s">
        <v>2183</v>
      </c>
      <c r="F1003" s="32" t="s">
        <v>237</v>
      </c>
      <c r="G1003" s="36" t="s">
        <v>2907</v>
      </c>
      <c r="H1003" s="32" t="s">
        <v>151</v>
      </c>
      <c r="I1003" s="32" t="s">
        <v>61</v>
      </c>
      <c r="J1003" s="32" t="s">
        <v>1588</v>
      </c>
      <c r="K1003" s="32" t="s">
        <v>1513</v>
      </c>
      <c r="L1003" s="32" t="s">
        <v>30</v>
      </c>
      <c r="M1003" s="32" t="s">
        <v>30</v>
      </c>
      <c r="N1003" s="40">
        <v>2014</v>
      </c>
      <c r="O1003" s="32">
        <f>VLOOKUP(Data!N740, CPI!$A$2:$B$112, 2, 0)</f>
        <v>255.65700000000001</v>
      </c>
      <c r="P1003" s="32" t="s">
        <v>7</v>
      </c>
      <c r="Q1003" s="32" t="s">
        <v>239</v>
      </c>
      <c r="R1003" s="32" t="s">
        <v>2580</v>
      </c>
      <c r="S1003" s="32">
        <v>1053</v>
      </c>
      <c r="T1003" s="32" t="s">
        <v>316</v>
      </c>
      <c r="U1003" s="32">
        <v>1053</v>
      </c>
      <c r="V1003" s="32" t="s">
        <v>316</v>
      </c>
      <c r="X1003" s="32">
        <f t="shared" si="59"/>
        <v>1053</v>
      </c>
      <c r="Y1003" s="32">
        <f>(CPI!$B$112/O1003)*X1003</f>
        <v>1254.9025364062006</v>
      </c>
      <c r="Z1003" s="38" t="s">
        <v>262</v>
      </c>
      <c r="AA1003" s="35" t="s">
        <v>1464</v>
      </c>
      <c r="AB1003" s="32" t="s">
        <v>30</v>
      </c>
      <c r="AH1003" s="32" t="s">
        <v>411</v>
      </c>
      <c r="AK1003" s="40" t="s">
        <v>1592</v>
      </c>
      <c r="AL1003" s="32">
        <v>2016</v>
      </c>
      <c r="AM1003" s="32" t="s">
        <v>1593</v>
      </c>
      <c r="AN1003" s="32" t="s">
        <v>1594</v>
      </c>
      <c r="AO1003" s="38" t="s">
        <v>1595</v>
      </c>
      <c r="AP1003" s="35" t="s">
        <v>396</v>
      </c>
    </row>
    <row r="1004" spans="1:42" x14ac:dyDescent="0.2">
      <c r="A1004" s="40">
        <v>106</v>
      </c>
      <c r="B1004" s="40">
        <v>1003</v>
      </c>
      <c r="C1004" s="40" t="s">
        <v>39</v>
      </c>
      <c r="D1004" s="38" t="s">
        <v>38</v>
      </c>
      <c r="E1004" s="32" t="s">
        <v>2183</v>
      </c>
      <c r="F1004" s="32" t="s">
        <v>237</v>
      </c>
      <c r="G1004" s="38" t="s">
        <v>1923</v>
      </c>
      <c r="H1004" s="32" t="s">
        <v>151</v>
      </c>
      <c r="I1004" s="32" t="s">
        <v>61</v>
      </c>
      <c r="J1004" s="32" t="s">
        <v>1589</v>
      </c>
      <c r="K1004" s="32" t="s">
        <v>1513</v>
      </c>
      <c r="L1004" s="32" t="s">
        <v>30</v>
      </c>
      <c r="M1004" s="32" t="s">
        <v>30</v>
      </c>
      <c r="N1004" s="40">
        <v>2014</v>
      </c>
      <c r="O1004" s="32">
        <f>VLOOKUP(Data!N741, CPI!$A$2:$B$112, 2, 0)</f>
        <v>255.65700000000001</v>
      </c>
      <c r="P1004" s="32" t="s">
        <v>7</v>
      </c>
      <c r="Q1004" s="32" t="s">
        <v>239</v>
      </c>
      <c r="R1004" s="32" t="s">
        <v>2580</v>
      </c>
      <c r="S1004" s="32">
        <v>1207</v>
      </c>
      <c r="T1004" s="32" t="s">
        <v>316</v>
      </c>
      <c r="U1004" s="32">
        <v>1207</v>
      </c>
      <c r="V1004" s="32" t="s">
        <v>316</v>
      </c>
      <c r="X1004" s="32">
        <f t="shared" si="59"/>
        <v>1207</v>
      </c>
      <c r="Y1004" s="32">
        <f>(CPI!$B$112/O1004)*X1004</f>
        <v>1438.4305426802318</v>
      </c>
      <c r="Z1004" s="38" t="s">
        <v>262</v>
      </c>
      <c r="AA1004" s="35" t="s">
        <v>1464</v>
      </c>
      <c r="AB1004" s="32" t="s">
        <v>30</v>
      </c>
      <c r="AH1004" s="32" t="s">
        <v>411</v>
      </c>
      <c r="AK1004" s="40" t="s">
        <v>1592</v>
      </c>
      <c r="AL1004" s="32">
        <v>2016</v>
      </c>
      <c r="AM1004" s="32" t="s">
        <v>1593</v>
      </c>
      <c r="AN1004" s="32" t="s">
        <v>1594</v>
      </c>
      <c r="AO1004" s="38" t="s">
        <v>1595</v>
      </c>
      <c r="AP1004" s="35" t="s">
        <v>396</v>
      </c>
    </row>
    <row r="1005" spans="1:42" x14ac:dyDescent="0.2">
      <c r="A1005" s="40">
        <v>106</v>
      </c>
      <c r="B1005" s="40">
        <v>1004</v>
      </c>
      <c r="C1005" s="40" t="s">
        <v>39</v>
      </c>
      <c r="D1005" s="38" t="s">
        <v>1997</v>
      </c>
      <c r="E1005" s="32" t="s">
        <v>2183</v>
      </c>
      <c r="F1005" s="32" t="s">
        <v>126</v>
      </c>
      <c r="G1005" s="38" t="s">
        <v>152</v>
      </c>
      <c r="H1005" s="32" t="s">
        <v>151</v>
      </c>
      <c r="I1005" s="32" t="s">
        <v>61</v>
      </c>
      <c r="J1005" s="32" t="s">
        <v>1588</v>
      </c>
      <c r="K1005" s="32" t="s">
        <v>1513</v>
      </c>
      <c r="L1005" s="32" t="s">
        <v>30</v>
      </c>
      <c r="M1005" s="32" t="s">
        <v>30</v>
      </c>
      <c r="N1005" s="40">
        <v>2014</v>
      </c>
      <c r="O1005" s="32">
        <f>VLOOKUP(Data!N742, CPI!$A$2:$B$112, 2, 0)</f>
        <v>188.9</v>
      </c>
      <c r="P1005" s="32" t="s">
        <v>7</v>
      </c>
      <c r="Q1005" s="32" t="s">
        <v>250</v>
      </c>
      <c r="R1005" s="32" t="s">
        <v>2581</v>
      </c>
      <c r="S1005" s="32">
        <v>1528</v>
      </c>
      <c r="T1005" s="32" t="s">
        <v>316</v>
      </c>
      <c r="U1005" s="32">
        <f t="shared" ref="U1005:U1010" si="60">S1005/7</f>
        <v>218.28571428571428</v>
      </c>
      <c r="V1005" s="32" t="s">
        <v>316</v>
      </c>
      <c r="X1005" s="32">
        <f t="shared" si="59"/>
        <v>218.28571428571428</v>
      </c>
      <c r="Y1005" s="32">
        <f>(CPI!$B$112/O1005)*X1005</f>
        <v>352.07295923769192</v>
      </c>
      <c r="Z1005" s="38" t="s">
        <v>262</v>
      </c>
      <c r="AA1005" s="35" t="s">
        <v>1399</v>
      </c>
      <c r="AB1005" s="32" t="s">
        <v>30</v>
      </c>
      <c r="AH1005" s="32" t="s">
        <v>411</v>
      </c>
      <c r="AJ1005" s="35" t="s">
        <v>2590</v>
      </c>
      <c r="AK1005" s="40" t="s">
        <v>1592</v>
      </c>
      <c r="AL1005" s="32">
        <v>2016</v>
      </c>
      <c r="AM1005" s="32" t="s">
        <v>1593</v>
      </c>
      <c r="AN1005" s="32" t="s">
        <v>1594</v>
      </c>
      <c r="AO1005" s="38" t="s">
        <v>1595</v>
      </c>
      <c r="AP1005" s="35" t="s">
        <v>396</v>
      </c>
    </row>
    <row r="1006" spans="1:42" x14ac:dyDescent="0.2">
      <c r="A1006" s="40">
        <v>106</v>
      </c>
      <c r="B1006" s="40">
        <v>1005</v>
      </c>
      <c r="C1006" s="40" t="s">
        <v>39</v>
      </c>
      <c r="D1006" s="38" t="s">
        <v>38</v>
      </c>
      <c r="E1006" s="32" t="s">
        <v>2183</v>
      </c>
      <c r="F1006" s="32" t="s">
        <v>237</v>
      </c>
      <c r="G1006" s="38" t="s">
        <v>1923</v>
      </c>
      <c r="H1006" s="32" t="s">
        <v>151</v>
      </c>
      <c r="I1006" s="32" t="s">
        <v>61</v>
      </c>
      <c r="J1006" s="32" t="s">
        <v>1589</v>
      </c>
      <c r="K1006" s="32" t="s">
        <v>1513</v>
      </c>
      <c r="L1006" s="32" t="s">
        <v>30</v>
      </c>
      <c r="M1006" s="32" t="s">
        <v>30</v>
      </c>
      <c r="N1006" s="40">
        <v>2014</v>
      </c>
      <c r="O1006" s="32">
        <f>VLOOKUP(Data!N743, CPI!$A$2:$B$112, 2, 0)</f>
        <v>188.9</v>
      </c>
      <c r="P1006" s="32" t="s">
        <v>7</v>
      </c>
      <c r="Q1006" s="32" t="s">
        <v>250</v>
      </c>
      <c r="R1006" s="32" t="s">
        <v>2582</v>
      </c>
      <c r="S1006" s="32">
        <v>1958</v>
      </c>
      <c r="T1006" s="32" t="s">
        <v>316</v>
      </c>
      <c r="U1006" s="32">
        <f t="shared" si="60"/>
        <v>279.71428571428572</v>
      </c>
      <c r="V1006" s="32" t="s">
        <v>316</v>
      </c>
      <c r="X1006" s="32">
        <f t="shared" si="59"/>
        <v>279.71428571428572</v>
      </c>
      <c r="Y1006" s="32">
        <f>(CPI!$B$112/O1006)*X1006</f>
        <v>451.1510825833775</v>
      </c>
      <c r="Z1006" s="38" t="s">
        <v>262</v>
      </c>
      <c r="AA1006" s="35" t="s">
        <v>1399</v>
      </c>
      <c r="AB1006" s="32" t="s">
        <v>30</v>
      </c>
      <c r="AH1006" s="32" t="s">
        <v>411</v>
      </c>
      <c r="AJ1006" s="35" t="s">
        <v>2590</v>
      </c>
      <c r="AK1006" s="40" t="s">
        <v>1592</v>
      </c>
      <c r="AL1006" s="32">
        <v>2016</v>
      </c>
      <c r="AM1006" s="32" t="s">
        <v>1593</v>
      </c>
      <c r="AN1006" s="32" t="s">
        <v>1594</v>
      </c>
      <c r="AO1006" s="38" t="s">
        <v>1595</v>
      </c>
      <c r="AP1006" s="35" t="s">
        <v>396</v>
      </c>
    </row>
    <row r="1007" spans="1:42" x14ac:dyDescent="0.2">
      <c r="A1007" s="40">
        <v>106</v>
      </c>
      <c r="B1007" s="40">
        <v>1006</v>
      </c>
      <c r="C1007" s="40" t="s">
        <v>39</v>
      </c>
      <c r="D1007" s="38" t="s">
        <v>38</v>
      </c>
      <c r="E1007" s="32" t="s">
        <v>2183</v>
      </c>
      <c r="F1007" s="32" t="s">
        <v>237</v>
      </c>
      <c r="G1007" s="38" t="s">
        <v>1923</v>
      </c>
      <c r="H1007" s="32" t="s">
        <v>151</v>
      </c>
      <c r="I1007" s="32" t="s">
        <v>61</v>
      </c>
      <c r="J1007" s="32" t="s">
        <v>1589</v>
      </c>
      <c r="K1007" s="32" t="s">
        <v>1513</v>
      </c>
      <c r="L1007" s="32" t="s">
        <v>30</v>
      </c>
      <c r="M1007" s="32" t="s">
        <v>30</v>
      </c>
      <c r="N1007" s="40">
        <v>2014</v>
      </c>
      <c r="O1007" s="32">
        <f>VLOOKUP(Data!N744, CPI!$A$2:$B$112, 2, 0)</f>
        <v>188.9</v>
      </c>
      <c r="P1007" s="32" t="s">
        <v>7</v>
      </c>
      <c r="Q1007" s="32" t="s">
        <v>250</v>
      </c>
      <c r="R1007" s="32" t="s">
        <v>2583</v>
      </c>
      <c r="S1007" s="32">
        <v>1749</v>
      </c>
      <c r="T1007" s="32" t="s">
        <v>316</v>
      </c>
      <c r="U1007" s="32">
        <f t="shared" si="60"/>
        <v>249.85714285714286</v>
      </c>
      <c r="V1007" s="32" t="s">
        <v>316</v>
      </c>
      <c r="X1007" s="32">
        <f t="shared" si="59"/>
        <v>249.85714285714286</v>
      </c>
      <c r="Y1007" s="32">
        <f>(CPI!$B$112/O1007)*X1007</f>
        <v>402.9945063525675</v>
      </c>
      <c r="Z1007" s="38" t="s">
        <v>262</v>
      </c>
      <c r="AA1007" s="35" t="s">
        <v>1399</v>
      </c>
      <c r="AB1007" s="32" t="s">
        <v>30</v>
      </c>
      <c r="AH1007" s="32" t="s">
        <v>411</v>
      </c>
      <c r="AJ1007" s="35" t="s">
        <v>2590</v>
      </c>
      <c r="AK1007" s="40" t="s">
        <v>1592</v>
      </c>
      <c r="AL1007" s="32">
        <v>2016</v>
      </c>
      <c r="AM1007" s="32" t="s">
        <v>1593</v>
      </c>
      <c r="AN1007" s="32" t="s">
        <v>1594</v>
      </c>
      <c r="AO1007" s="38" t="s">
        <v>1595</v>
      </c>
      <c r="AP1007" s="35" t="s">
        <v>396</v>
      </c>
    </row>
    <row r="1008" spans="1:42" x14ac:dyDescent="0.2">
      <c r="A1008" s="40">
        <v>106</v>
      </c>
      <c r="B1008" s="40">
        <v>1007</v>
      </c>
      <c r="C1008" s="40" t="s">
        <v>39</v>
      </c>
      <c r="D1008" s="38" t="s">
        <v>1997</v>
      </c>
      <c r="E1008" s="32" t="s">
        <v>2183</v>
      </c>
      <c r="F1008" s="32" t="s">
        <v>126</v>
      </c>
      <c r="G1008" s="38" t="s">
        <v>152</v>
      </c>
      <c r="H1008" s="32" t="s">
        <v>151</v>
      </c>
      <c r="I1008" s="32" t="s">
        <v>61</v>
      </c>
      <c r="J1008" s="32" t="s">
        <v>1588</v>
      </c>
      <c r="K1008" s="32" t="s">
        <v>1513</v>
      </c>
      <c r="L1008" s="32" t="s">
        <v>30</v>
      </c>
      <c r="M1008" s="32" t="s">
        <v>30</v>
      </c>
      <c r="N1008" s="40">
        <v>2014</v>
      </c>
      <c r="O1008" s="32">
        <f>VLOOKUP(Data!N745, CPI!$A$2:$B$112, 2, 0)</f>
        <v>188.9</v>
      </c>
      <c r="P1008" s="32" t="s">
        <v>7</v>
      </c>
      <c r="Q1008" s="32" t="s">
        <v>250</v>
      </c>
      <c r="R1008" s="32" t="s">
        <v>2584</v>
      </c>
      <c r="S1008" s="32">
        <v>1293</v>
      </c>
      <c r="T1008" s="32" t="s">
        <v>316</v>
      </c>
      <c r="U1008" s="32">
        <f t="shared" si="60"/>
        <v>184.71428571428572</v>
      </c>
      <c r="V1008" s="32" t="s">
        <v>316</v>
      </c>
      <c r="X1008" s="32">
        <f t="shared" si="59"/>
        <v>184.71428571428572</v>
      </c>
      <c r="Y1008" s="32">
        <f>(CPI!$B$112/O1008)*X1008</f>
        <v>297.9256127580731</v>
      </c>
      <c r="Z1008" s="38" t="s">
        <v>262</v>
      </c>
      <c r="AA1008" s="35" t="s">
        <v>1399</v>
      </c>
      <c r="AB1008" s="32" t="s">
        <v>30</v>
      </c>
      <c r="AH1008" s="32" t="s">
        <v>411</v>
      </c>
      <c r="AJ1008" s="35" t="s">
        <v>2590</v>
      </c>
      <c r="AK1008" s="40" t="s">
        <v>1592</v>
      </c>
      <c r="AL1008" s="32">
        <v>2016</v>
      </c>
      <c r="AM1008" s="32" t="s">
        <v>1593</v>
      </c>
      <c r="AN1008" s="32" t="s">
        <v>1594</v>
      </c>
      <c r="AO1008" s="38" t="s">
        <v>1595</v>
      </c>
      <c r="AP1008" s="35" t="s">
        <v>396</v>
      </c>
    </row>
    <row r="1009" spans="1:42" x14ac:dyDescent="0.2">
      <c r="A1009" s="40">
        <v>106</v>
      </c>
      <c r="B1009" s="40">
        <v>1008</v>
      </c>
      <c r="C1009" s="40" t="s">
        <v>39</v>
      </c>
      <c r="D1009" s="38" t="s">
        <v>38</v>
      </c>
      <c r="E1009" s="32" t="s">
        <v>2183</v>
      </c>
      <c r="F1009" s="32" t="s">
        <v>237</v>
      </c>
      <c r="G1009" s="38" t="s">
        <v>1923</v>
      </c>
      <c r="H1009" s="32" t="s">
        <v>151</v>
      </c>
      <c r="I1009" s="32" t="s">
        <v>61</v>
      </c>
      <c r="J1009" s="32" t="s">
        <v>1589</v>
      </c>
      <c r="K1009" s="32" t="s">
        <v>1513</v>
      </c>
      <c r="L1009" s="32" t="s">
        <v>30</v>
      </c>
      <c r="M1009" s="32" t="s">
        <v>30</v>
      </c>
      <c r="N1009" s="40">
        <v>2014</v>
      </c>
      <c r="O1009" s="32">
        <f>VLOOKUP(Data!N746, CPI!$A$2:$B$112, 2, 0)</f>
        <v>188.9</v>
      </c>
      <c r="P1009" s="32" t="s">
        <v>7</v>
      </c>
      <c r="Q1009" s="32" t="s">
        <v>250</v>
      </c>
      <c r="R1009" s="32" t="s">
        <v>2585</v>
      </c>
      <c r="S1009" s="32">
        <v>1793</v>
      </c>
      <c r="T1009" s="32" t="s">
        <v>316</v>
      </c>
      <c r="U1009" s="32">
        <f t="shared" si="60"/>
        <v>256.14285714285717</v>
      </c>
      <c r="V1009" s="32" t="s">
        <v>316</v>
      </c>
      <c r="X1009" s="32">
        <f t="shared" si="59"/>
        <v>256.14285714285717</v>
      </c>
      <c r="Y1009" s="32">
        <f>(CPI!$B$112/O1009)*X1009</f>
        <v>413.13273292747493</v>
      </c>
      <c r="Z1009" s="38" t="s">
        <v>262</v>
      </c>
      <c r="AA1009" s="35" t="s">
        <v>1399</v>
      </c>
      <c r="AB1009" s="32" t="s">
        <v>30</v>
      </c>
      <c r="AH1009" s="32" t="s">
        <v>411</v>
      </c>
      <c r="AJ1009" s="35" t="s">
        <v>2590</v>
      </c>
      <c r="AK1009" s="40" t="s">
        <v>1592</v>
      </c>
      <c r="AL1009" s="32">
        <v>2016</v>
      </c>
      <c r="AM1009" s="32" t="s">
        <v>1593</v>
      </c>
      <c r="AN1009" s="32" t="s">
        <v>1594</v>
      </c>
      <c r="AO1009" s="38" t="s">
        <v>1595</v>
      </c>
      <c r="AP1009" s="35" t="s">
        <v>396</v>
      </c>
    </row>
    <row r="1010" spans="1:42" x14ac:dyDescent="0.2">
      <c r="A1010" s="40">
        <v>106</v>
      </c>
      <c r="B1010" s="40">
        <v>1009</v>
      </c>
      <c r="C1010" s="40" t="s">
        <v>39</v>
      </c>
      <c r="D1010" s="38" t="s">
        <v>38</v>
      </c>
      <c r="E1010" s="32" t="s">
        <v>2183</v>
      </c>
      <c r="F1010" s="32" t="s">
        <v>237</v>
      </c>
      <c r="G1010" s="38" t="s">
        <v>1923</v>
      </c>
      <c r="H1010" s="32" t="s">
        <v>151</v>
      </c>
      <c r="I1010" s="32" t="s">
        <v>61</v>
      </c>
      <c r="J1010" s="32" t="s">
        <v>1589</v>
      </c>
      <c r="K1010" s="32" t="s">
        <v>1513</v>
      </c>
      <c r="L1010" s="32" t="s">
        <v>30</v>
      </c>
      <c r="M1010" s="32" t="s">
        <v>30</v>
      </c>
      <c r="N1010" s="40">
        <v>2014</v>
      </c>
      <c r="O1010" s="32">
        <f>VLOOKUP(Data!N747, CPI!$A$2:$B$112, 2, 0)</f>
        <v>188.9</v>
      </c>
      <c r="P1010" s="32" t="s">
        <v>7</v>
      </c>
      <c r="Q1010" s="32" t="s">
        <v>239</v>
      </c>
      <c r="R1010" s="32" t="s">
        <v>2586</v>
      </c>
      <c r="S1010" s="32">
        <v>1599</v>
      </c>
      <c r="T1010" s="32" t="s">
        <v>316</v>
      </c>
      <c r="U1010" s="32">
        <f t="shared" si="60"/>
        <v>228.42857142857142</v>
      </c>
      <c r="V1010" s="32" t="s">
        <v>316</v>
      </c>
      <c r="X1010" s="32">
        <f t="shared" si="59"/>
        <v>228.42857142857142</v>
      </c>
      <c r="Y1010" s="32">
        <f>(CPI!$B$112/O1010)*X1010</f>
        <v>368.43237030174697</v>
      </c>
      <c r="Z1010" s="38" t="s">
        <v>262</v>
      </c>
      <c r="AA1010" s="35" t="s">
        <v>1399</v>
      </c>
      <c r="AB1010" s="32" t="s">
        <v>30</v>
      </c>
      <c r="AH1010" s="32" t="s">
        <v>411</v>
      </c>
      <c r="AJ1010" s="35" t="s">
        <v>2590</v>
      </c>
      <c r="AK1010" s="40" t="s">
        <v>1592</v>
      </c>
      <c r="AL1010" s="32">
        <v>2016</v>
      </c>
      <c r="AM1010" s="32" t="s">
        <v>1593</v>
      </c>
      <c r="AN1010" s="32" t="s">
        <v>1594</v>
      </c>
      <c r="AO1010" s="38" t="s">
        <v>1595</v>
      </c>
      <c r="AP1010" s="35" t="s">
        <v>396</v>
      </c>
    </row>
    <row r="1011" spans="1:42" x14ac:dyDescent="0.2">
      <c r="A1011" s="40">
        <v>106</v>
      </c>
      <c r="B1011" s="40">
        <v>1010</v>
      </c>
      <c r="C1011" s="40" t="s">
        <v>39</v>
      </c>
      <c r="D1011" s="38" t="s">
        <v>1997</v>
      </c>
      <c r="E1011" s="32" t="s">
        <v>2183</v>
      </c>
      <c r="F1011" s="32" t="s">
        <v>126</v>
      </c>
      <c r="G1011" s="38" t="s">
        <v>152</v>
      </c>
      <c r="H1011" s="32" t="s">
        <v>151</v>
      </c>
      <c r="I1011" s="32" t="s">
        <v>243</v>
      </c>
      <c r="J1011" s="32" t="s">
        <v>2587</v>
      </c>
      <c r="K1011" s="32" t="s">
        <v>1513</v>
      </c>
      <c r="L1011" s="32" t="s">
        <v>30</v>
      </c>
      <c r="M1011" s="32" t="s">
        <v>30</v>
      </c>
      <c r="N1011" s="40">
        <v>2014</v>
      </c>
      <c r="O1011" s="32">
        <f>VLOOKUP(Data!N748, CPI!$A$2:$B$112, 2, 0)</f>
        <v>188.9</v>
      </c>
      <c r="P1011" s="32" t="s">
        <v>7</v>
      </c>
      <c r="Q1011" s="32" t="s">
        <v>239</v>
      </c>
      <c r="R1011" s="32" t="s">
        <v>2588</v>
      </c>
      <c r="S1011" s="32">
        <v>2381</v>
      </c>
      <c r="T1011" s="32" t="s">
        <v>316</v>
      </c>
      <c r="U1011" s="32">
        <v>2381</v>
      </c>
      <c r="V1011" s="32" t="s">
        <v>316</v>
      </c>
      <c r="X1011" s="32">
        <f t="shared" si="59"/>
        <v>2381</v>
      </c>
      <c r="Y1011" s="32">
        <f>(CPI!$B$112/O1011)*X1011</f>
        <v>3840.31414372684</v>
      </c>
      <c r="Z1011" s="38" t="s">
        <v>262</v>
      </c>
      <c r="AA1011" s="35" t="s">
        <v>1399</v>
      </c>
      <c r="AB1011" s="32" t="s">
        <v>30</v>
      </c>
      <c r="AH1011" s="32" t="s">
        <v>411</v>
      </c>
      <c r="AK1011" s="40" t="s">
        <v>1592</v>
      </c>
      <c r="AL1011" s="32">
        <v>2016</v>
      </c>
      <c r="AM1011" s="32" t="s">
        <v>1593</v>
      </c>
      <c r="AN1011" s="32" t="s">
        <v>1594</v>
      </c>
      <c r="AO1011" s="38" t="s">
        <v>1595</v>
      </c>
      <c r="AP1011" s="35" t="s">
        <v>396</v>
      </c>
    </row>
    <row r="1012" spans="1:42" x14ac:dyDescent="0.2">
      <c r="A1012" s="40">
        <v>106</v>
      </c>
      <c r="B1012" s="40">
        <v>1011</v>
      </c>
      <c r="C1012" s="40" t="s">
        <v>39</v>
      </c>
      <c r="D1012" s="38" t="s">
        <v>1997</v>
      </c>
      <c r="E1012" s="32" t="s">
        <v>2183</v>
      </c>
      <c r="F1012" s="32" t="s">
        <v>126</v>
      </c>
      <c r="G1012" s="38" t="s">
        <v>152</v>
      </c>
      <c r="H1012" s="32" t="s">
        <v>151</v>
      </c>
      <c r="I1012" s="32" t="s">
        <v>243</v>
      </c>
      <c r="J1012" s="32" t="s">
        <v>2587</v>
      </c>
      <c r="K1012" s="32" t="s">
        <v>1513</v>
      </c>
      <c r="L1012" s="32" t="s">
        <v>30</v>
      </c>
      <c r="M1012" s="32" t="s">
        <v>30</v>
      </c>
      <c r="N1012" s="40">
        <v>2014</v>
      </c>
      <c r="O1012" s="32">
        <f>VLOOKUP(Data!N749, CPI!$A$2:$B$112, 2, 0)</f>
        <v>188.9</v>
      </c>
      <c r="P1012" s="32" t="s">
        <v>7</v>
      </c>
      <c r="Q1012" s="32" t="s">
        <v>239</v>
      </c>
      <c r="R1012" s="32" t="s">
        <v>2589</v>
      </c>
      <c r="S1012" s="32">
        <v>1429</v>
      </c>
      <c r="T1012" s="32" t="s">
        <v>316</v>
      </c>
      <c r="U1012" s="32">
        <v>1429</v>
      </c>
      <c r="V1012" s="32" t="s">
        <v>316</v>
      </c>
      <c r="X1012" s="32">
        <f t="shared" si="59"/>
        <v>1429</v>
      </c>
      <c r="Y1012" s="32">
        <f>(CPI!$B$112/O1012)*X1012</f>
        <v>2304.8336461090526</v>
      </c>
      <c r="Z1012" s="38" t="s">
        <v>262</v>
      </c>
      <c r="AA1012" s="35" t="s">
        <v>1399</v>
      </c>
      <c r="AB1012" s="32" t="s">
        <v>30</v>
      </c>
      <c r="AH1012" s="32" t="s">
        <v>411</v>
      </c>
      <c r="AK1012" s="40" t="s">
        <v>1592</v>
      </c>
      <c r="AL1012" s="32">
        <v>2016</v>
      </c>
      <c r="AM1012" s="32" t="s">
        <v>1593</v>
      </c>
      <c r="AN1012" s="32" t="s">
        <v>1594</v>
      </c>
      <c r="AO1012" s="38" t="s">
        <v>1595</v>
      </c>
      <c r="AP1012" s="35" t="s">
        <v>396</v>
      </c>
    </row>
    <row r="1013" spans="1:42" x14ac:dyDescent="0.2">
      <c r="A1013" s="40">
        <v>107</v>
      </c>
      <c r="B1013" s="40">
        <v>1012</v>
      </c>
      <c r="C1013" s="40" t="s">
        <v>39</v>
      </c>
      <c r="D1013" s="38" t="s">
        <v>38</v>
      </c>
      <c r="E1013" s="32" t="s">
        <v>2183</v>
      </c>
      <c r="F1013" s="32" t="s">
        <v>237</v>
      </c>
      <c r="G1013" s="36" t="s">
        <v>2907</v>
      </c>
      <c r="H1013" s="32" t="s">
        <v>151</v>
      </c>
      <c r="I1013" s="32" t="s">
        <v>120</v>
      </c>
      <c r="J1013" s="32" t="s">
        <v>1600</v>
      </c>
      <c r="K1013" s="32" t="s">
        <v>1513</v>
      </c>
      <c r="L1013" s="32" t="s">
        <v>30</v>
      </c>
      <c r="M1013" s="32" t="s">
        <v>30</v>
      </c>
      <c r="N1013" s="40">
        <v>2021</v>
      </c>
      <c r="O1013" s="32">
        <f>VLOOKUP(Data!N750, CPI!$A$2:$B$112, 2, 0)</f>
        <v>188.9</v>
      </c>
      <c r="P1013" s="32" t="s">
        <v>238</v>
      </c>
      <c r="Q1013" s="32" t="s">
        <v>239</v>
      </c>
      <c r="R1013" s="32" t="s">
        <v>1596</v>
      </c>
      <c r="S1013" s="32">
        <v>923.27</v>
      </c>
      <c r="T1013" s="32" t="s">
        <v>316</v>
      </c>
      <c r="U1013" s="32">
        <v>923.27</v>
      </c>
      <c r="V1013" s="32" t="s">
        <v>316</v>
      </c>
      <c r="X1013" s="32">
        <f t="shared" si="59"/>
        <v>923.27</v>
      </c>
      <c r="Y1013" s="32">
        <f>(CPI!$B$112/O1013)*X1013</f>
        <v>1489.1418897432504</v>
      </c>
      <c r="Z1013" s="38" t="s">
        <v>262</v>
      </c>
      <c r="AA1013" s="35" t="s">
        <v>1445</v>
      </c>
      <c r="AB1013" s="32" t="s">
        <v>30</v>
      </c>
      <c r="AH1013" s="32" t="s">
        <v>411</v>
      </c>
      <c r="AI1013" s="32" t="s">
        <v>1539</v>
      </c>
      <c r="AK1013" s="40" t="s">
        <v>1601</v>
      </c>
      <c r="AL1013" s="32">
        <v>2021</v>
      </c>
      <c r="AM1013" s="32" t="s">
        <v>1602</v>
      </c>
      <c r="AN1013" s="32" t="s">
        <v>1603</v>
      </c>
      <c r="AO1013" s="38" t="s">
        <v>1604</v>
      </c>
      <c r="AP1013" s="35" t="s">
        <v>396</v>
      </c>
    </row>
    <row r="1014" spans="1:42" x14ac:dyDescent="0.2">
      <c r="A1014" s="40">
        <v>107</v>
      </c>
      <c r="B1014" s="40">
        <v>1013</v>
      </c>
      <c r="C1014" s="40" t="s">
        <v>39</v>
      </c>
      <c r="D1014" s="38" t="s">
        <v>38</v>
      </c>
      <c r="E1014" s="32" t="s">
        <v>2183</v>
      </c>
      <c r="F1014" s="32" t="s">
        <v>237</v>
      </c>
      <c r="G1014" s="36" t="s">
        <v>2907</v>
      </c>
      <c r="H1014" s="32" t="s">
        <v>151</v>
      </c>
      <c r="I1014" s="32" t="s">
        <v>120</v>
      </c>
      <c r="J1014" s="32" t="s">
        <v>1600</v>
      </c>
      <c r="K1014" s="32" t="s">
        <v>1513</v>
      </c>
      <c r="L1014" s="32" t="s">
        <v>30</v>
      </c>
      <c r="M1014" s="32" t="s">
        <v>30</v>
      </c>
      <c r="N1014" s="40">
        <v>2021</v>
      </c>
      <c r="O1014" s="32">
        <f>VLOOKUP(Data!N751, CPI!$A$2:$B$112, 2, 0)</f>
        <v>188.9</v>
      </c>
      <c r="P1014" s="32" t="s">
        <v>238</v>
      </c>
      <c r="Q1014" s="32" t="s">
        <v>239</v>
      </c>
      <c r="R1014" s="32" t="s">
        <v>1597</v>
      </c>
      <c r="S1014" s="32">
        <v>1017.8</v>
      </c>
      <c r="T1014" s="32" t="s">
        <v>316</v>
      </c>
      <c r="U1014" s="32">
        <v>1017.8</v>
      </c>
      <c r="V1014" s="32" t="s">
        <v>316</v>
      </c>
      <c r="X1014" s="32">
        <f t="shared" si="59"/>
        <v>1017.8</v>
      </c>
      <c r="Y1014" s="32">
        <f>(CPI!$B$112/O1014)*X1014</f>
        <v>1641.6092967178402</v>
      </c>
      <c r="Z1014" s="38" t="s">
        <v>262</v>
      </c>
      <c r="AA1014" s="35" t="s">
        <v>1445</v>
      </c>
      <c r="AB1014" s="32" t="s">
        <v>30</v>
      </c>
      <c r="AH1014" s="32" t="s">
        <v>411</v>
      </c>
      <c r="AI1014" s="32" t="s">
        <v>1539</v>
      </c>
      <c r="AK1014" s="40" t="s">
        <v>1601</v>
      </c>
      <c r="AL1014" s="32">
        <v>2021</v>
      </c>
      <c r="AM1014" s="32" t="s">
        <v>1602</v>
      </c>
      <c r="AN1014" s="32" t="s">
        <v>1603</v>
      </c>
      <c r="AO1014" s="38" t="s">
        <v>1604</v>
      </c>
      <c r="AP1014" s="35" t="s">
        <v>396</v>
      </c>
    </row>
    <row r="1015" spans="1:42" x14ac:dyDescent="0.2">
      <c r="A1015" s="40">
        <v>107</v>
      </c>
      <c r="B1015" s="40">
        <v>1014</v>
      </c>
      <c r="C1015" s="40" t="s">
        <v>39</v>
      </c>
      <c r="D1015" s="38" t="s">
        <v>38</v>
      </c>
      <c r="E1015" s="32" t="s">
        <v>2183</v>
      </c>
      <c r="F1015" s="32" t="s">
        <v>237</v>
      </c>
      <c r="G1015" s="36" t="s">
        <v>2907</v>
      </c>
      <c r="H1015" s="32" t="s">
        <v>151</v>
      </c>
      <c r="I1015" s="32" t="s">
        <v>120</v>
      </c>
      <c r="J1015" s="32" t="s">
        <v>1600</v>
      </c>
      <c r="K1015" s="32" t="s">
        <v>1513</v>
      </c>
      <c r="L1015" s="32" t="s">
        <v>30</v>
      </c>
      <c r="M1015" s="32" t="s">
        <v>30</v>
      </c>
      <c r="N1015" s="40">
        <v>2021</v>
      </c>
      <c r="O1015" s="32">
        <f>VLOOKUP(Data!N752, CPI!$A$2:$B$112, 2, 0)</f>
        <v>188.9</v>
      </c>
      <c r="P1015" s="32" t="s">
        <v>238</v>
      </c>
      <c r="Q1015" s="32" t="s">
        <v>239</v>
      </c>
      <c r="R1015" s="32" t="s">
        <v>1598</v>
      </c>
      <c r="S1015" s="32">
        <v>529.64</v>
      </c>
      <c r="T1015" s="32" t="s">
        <v>316</v>
      </c>
      <c r="U1015" s="32">
        <v>529.64</v>
      </c>
      <c r="V1015" s="32" t="s">
        <v>316</v>
      </c>
      <c r="X1015" s="32">
        <f t="shared" si="59"/>
        <v>529.64</v>
      </c>
      <c r="Y1015" s="32">
        <f>(CPI!$B$112/O1015)*X1015</f>
        <v>854.25618777130762</v>
      </c>
      <c r="Z1015" s="38" t="s">
        <v>262</v>
      </c>
      <c r="AA1015" s="35" t="s">
        <v>1445</v>
      </c>
      <c r="AB1015" s="32" t="s">
        <v>30</v>
      </c>
      <c r="AH1015" s="32" t="s">
        <v>411</v>
      </c>
      <c r="AI1015" s="32" t="s">
        <v>1539</v>
      </c>
      <c r="AK1015" s="40" t="s">
        <v>1601</v>
      </c>
      <c r="AL1015" s="32">
        <v>2021</v>
      </c>
      <c r="AM1015" s="32" t="s">
        <v>1602</v>
      </c>
      <c r="AN1015" s="32" t="s">
        <v>1603</v>
      </c>
      <c r="AO1015" s="38" t="s">
        <v>1604</v>
      </c>
      <c r="AP1015" s="35" t="s">
        <v>396</v>
      </c>
    </row>
    <row r="1016" spans="1:42" x14ac:dyDescent="0.2">
      <c r="A1016" s="40">
        <v>107</v>
      </c>
      <c r="B1016" s="40">
        <v>1015</v>
      </c>
      <c r="C1016" s="40" t="s">
        <v>39</v>
      </c>
      <c r="D1016" s="38" t="s">
        <v>38</v>
      </c>
      <c r="E1016" s="32" t="s">
        <v>2183</v>
      </c>
      <c r="F1016" s="32" t="s">
        <v>237</v>
      </c>
      <c r="G1016" s="36" t="s">
        <v>2907</v>
      </c>
      <c r="H1016" s="32" t="s">
        <v>151</v>
      </c>
      <c r="I1016" s="32" t="s">
        <v>120</v>
      </c>
      <c r="J1016" s="32" t="s">
        <v>1600</v>
      </c>
      <c r="K1016" s="32" t="s">
        <v>1513</v>
      </c>
      <c r="L1016" s="32" t="s">
        <v>30</v>
      </c>
      <c r="M1016" s="32" t="s">
        <v>30</v>
      </c>
      <c r="N1016" s="40">
        <v>2021</v>
      </c>
      <c r="O1016" s="32">
        <f>VLOOKUP(Data!N753, CPI!$A$2:$B$112, 2, 0)</f>
        <v>188.9</v>
      </c>
      <c r="P1016" s="32" t="s">
        <v>238</v>
      </c>
      <c r="Q1016" s="32" t="s">
        <v>239</v>
      </c>
      <c r="R1016" s="32" t="s">
        <v>1598</v>
      </c>
      <c r="S1016" s="32">
        <v>697.72</v>
      </c>
      <c r="T1016" s="32" t="s">
        <v>316</v>
      </c>
      <c r="U1016" s="32">
        <v>697.72</v>
      </c>
      <c r="V1016" s="32" t="s">
        <v>316</v>
      </c>
      <c r="X1016" s="32">
        <f t="shared" si="59"/>
        <v>697.72</v>
      </c>
      <c r="Y1016" s="32">
        <f>(CPI!$B$112/O1016)*X1016</f>
        <v>1125.3523663843305</v>
      </c>
      <c r="Z1016" s="38" t="s">
        <v>262</v>
      </c>
      <c r="AA1016" s="35" t="s">
        <v>1445</v>
      </c>
      <c r="AB1016" s="32" t="s">
        <v>30</v>
      </c>
      <c r="AH1016" s="32" t="s">
        <v>411</v>
      </c>
      <c r="AI1016" s="32" t="s">
        <v>1539</v>
      </c>
      <c r="AK1016" s="40" t="s">
        <v>1601</v>
      </c>
      <c r="AL1016" s="32">
        <v>2021</v>
      </c>
      <c r="AM1016" s="32" t="s">
        <v>1602</v>
      </c>
      <c r="AN1016" s="32" t="s">
        <v>1603</v>
      </c>
      <c r="AO1016" s="38" t="s">
        <v>1604</v>
      </c>
      <c r="AP1016" s="35" t="s">
        <v>396</v>
      </c>
    </row>
    <row r="1017" spans="1:42" x14ac:dyDescent="0.2">
      <c r="A1017" s="40">
        <v>107</v>
      </c>
      <c r="B1017" s="40">
        <v>1016</v>
      </c>
      <c r="C1017" s="40" t="s">
        <v>39</v>
      </c>
      <c r="D1017" s="38" t="s">
        <v>38</v>
      </c>
      <c r="E1017" s="32" t="s">
        <v>2183</v>
      </c>
      <c r="F1017" s="32" t="s">
        <v>237</v>
      </c>
      <c r="G1017" s="36" t="s">
        <v>2907</v>
      </c>
      <c r="H1017" s="32" t="s">
        <v>151</v>
      </c>
      <c r="I1017" s="32" t="s">
        <v>120</v>
      </c>
      <c r="J1017" s="32" t="s">
        <v>1600</v>
      </c>
      <c r="K1017" s="32" t="s">
        <v>1513</v>
      </c>
      <c r="L1017" s="32" t="s">
        <v>30</v>
      </c>
      <c r="M1017" s="32" t="s">
        <v>30</v>
      </c>
      <c r="N1017" s="40">
        <v>2021</v>
      </c>
      <c r="O1017" s="32">
        <f>VLOOKUP(Data!N754, CPI!$A$2:$B$112, 2, 0)</f>
        <v>188.9</v>
      </c>
      <c r="P1017" s="32" t="s">
        <v>238</v>
      </c>
      <c r="Q1017" s="32" t="s">
        <v>239</v>
      </c>
      <c r="R1017" s="32" t="s">
        <v>1599</v>
      </c>
      <c r="S1017" s="32">
        <v>521.08000000000004</v>
      </c>
      <c r="T1017" s="32" t="s">
        <v>316</v>
      </c>
      <c r="U1017" s="32">
        <v>521.08000000000004</v>
      </c>
      <c r="V1017" s="32" t="s">
        <v>316</v>
      </c>
      <c r="X1017" s="32">
        <f t="shared" si="59"/>
        <v>521.08000000000004</v>
      </c>
      <c r="Y1017" s="32">
        <f>(CPI!$B$112/O1017)*X1017</f>
        <v>840.44976649020657</v>
      </c>
      <c r="Z1017" s="38" t="s">
        <v>262</v>
      </c>
      <c r="AA1017" s="35" t="s">
        <v>1445</v>
      </c>
      <c r="AB1017" s="32" t="s">
        <v>30</v>
      </c>
      <c r="AH1017" s="32" t="s">
        <v>411</v>
      </c>
      <c r="AI1017" s="32" t="s">
        <v>1539</v>
      </c>
      <c r="AK1017" s="40" t="s">
        <v>1601</v>
      </c>
      <c r="AL1017" s="32">
        <v>2021</v>
      </c>
      <c r="AM1017" s="32" t="s">
        <v>1602</v>
      </c>
      <c r="AN1017" s="32" t="s">
        <v>1603</v>
      </c>
      <c r="AO1017" s="38" t="s">
        <v>1604</v>
      </c>
      <c r="AP1017" s="35" t="s">
        <v>396</v>
      </c>
    </row>
    <row r="1018" spans="1:42" x14ac:dyDescent="0.2">
      <c r="A1018" s="40">
        <v>107</v>
      </c>
      <c r="B1018" s="40">
        <v>1017</v>
      </c>
      <c r="C1018" s="40" t="s">
        <v>39</v>
      </c>
      <c r="D1018" s="38" t="s">
        <v>38</v>
      </c>
      <c r="E1018" s="32" t="s">
        <v>2183</v>
      </c>
      <c r="F1018" s="32" t="s">
        <v>237</v>
      </c>
      <c r="G1018" s="36" t="s">
        <v>2907</v>
      </c>
      <c r="H1018" s="32" t="s">
        <v>151</v>
      </c>
      <c r="I1018" s="32" t="s">
        <v>120</v>
      </c>
      <c r="J1018" s="32" t="s">
        <v>1600</v>
      </c>
      <c r="K1018" s="32" t="s">
        <v>1513</v>
      </c>
      <c r="L1018" s="32" t="s">
        <v>30</v>
      </c>
      <c r="M1018" s="32" t="s">
        <v>30</v>
      </c>
      <c r="N1018" s="40">
        <v>2021</v>
      </c>
      <c r="O1018" s="32">
        <f>VLOOKUP(Data!N755, CPI!$A$2:$B$112, 2, 0)</f>
        <v>188.9</v>
      </c>
      <c r="P1018" s="32" t="s">
        <v>238</v>
      </c>
      <c r="Q1018" s="32" t="s">
        <v>239</v>
      </c>
      <c r="R1018" s="32" t="s">
        <v>1599</v>
      </c>
      <c r="S1018" s="32">
        <v>557.63</v>
      </c>
      <c r="T1018" s="32" t="s">
        <v>316</v>
      </c>
      <c r="U1018" s="32">
        <v>557.63</v>
      </c>
      <c r="V1018" s="32" t="s">
        <v>316</v>
      </c>
      <c r="X1018" s="32">
        <f t="shared" si="59"/>
        <v>557.63</v>
      </c>
      <c r="Y1018" s="32">
        <f>(CPI!$B$112/O1018)*X1018</f>
        <v>899.4012498808894</v>
      </c>
      <c r="Z1018" s="38" t="s">
        <v>262</v>
      </c>
      <c r="AA1018" s="35" t="s">
        <v>1445</v>
      </c>
      <c r="AB1018" s="32" t="s">
        <v>30</v>
      </c>
      <c r="AH1018" s="32" t="s">
        <v>411</v>
      </c>
      <c r="AI1018" s="32" t="s">
        <v>1539</v>
      </c>
      <c r="AK1018" s="40" t="s">
        <v>1601</v>
      </c>
      <c r="AL1018" s="32">
        <v>2021</v>
      </c>
      <c r="AM1018" s="32" t="s">
        <v>1602</v>
      </c>
      <c r="AN1018" s="32" t="s">
        <v>1603</v>
      </c>
      <c r="AO1018" s="38" t="s">
        <v>1604</v>
      </c>
      <c r="AP1018" s="35" t="s">
        <v>396</v>
      </c>
    </row>
    <row r="1019" spans="1:42" x14ac:dyDescent="0.2">
      <c r="A1019" s="40">
        <v>108</v>
      </c>
      <c r="B1019" s="40">
        <v>1018</v>
      </c>
      <c r="C1019" s="40" t="s">
        <v>241</v>
      </c>
      <c r="D1019" s="38" t="s">
        <v>241</v>
      </c>
      <c r="E1019" s="32" t="s">
        <v>2186</v>
      </c>
      <c r="F1019" s="32" t="s">
        <v>29</v>
      </c>
      <c r="G1019" s="38" t="s">
        <v>29</v>
      </c>
      <c r="H1019" s="32" t="s">
        <v>151</v>
      </c>
      <c r="I1019" s="32" t="s">
        <v>61</v>
      </c>
      <c r="J1019" s="32" t="s">
        <v>1605</v>
      </c>
      <c r="K1019" s="32" t="s">
        <v>1513</v>
      </c>
      <c r="L1019" s="32" t="s">
        <v>30</v>
      </c>
      <c r="M1019" s="32" t="s">
        <v>30</v>
      </c>
      <c r="N1019" s="40">
        <v>2008</v>
      </c>
      <c r="O1019" s="32">
        <f>VLOOKUP(Data!N1103, CPI!$A$2:$B$112, 2, 0)</f>
        <v>304.67675000000003</v>
      </c>
      <c r="P1019" s="32" t="s">
        <v>122</v>
      </c>
      <c r="Q1019" s="32" t="s">
        <v>4</v>
      </c>
      <c r="R1019" s="32" t="s">
        <v>1607</v>
      </c>
      <c r="S1019" s="32">
        <v>7800</v>
      </c>
      <c r="T1019" s="32" t="s">
        <v>1608</v>
      </c>
      <c r="U1019" s="32">
        <v>7800</v>
      </c>
      <c r="V1019" s="32" t="s">
        <v>1487</v>
      </c>
      <c r="W1019" s="32">
        <f>VLOOKUP(N1019, 'Exchange rate- Vietnam'!$A$2:$B$65, 2, 0)</f>
        <v>16302.25</v>
      </c>
      <c r="X1019" s="32">
        <f>U1019/W1019</f>
        <v>0.47846156205431767</v>
      </c>
      <c r="Y1019" s="32">
        <f>(CPI!$B$112/O1019)*X1019</f>
        <v>0.47846156205431767</v>
      </c>
      <c r="Z1019" s="38" t="s">
        <v>1609</v>
      </c>
      <c r="AA1019" s="35" t="s">
        <v>1610</v>
      </c>
      <c r="AB1019" s="32">
        <v>3140</v>
      </c>
      <c r="AC1019" s="32" t="s">
        <v>2591</v>
      </c>
      <c r="AH1019" s="32" t="s">
        <v>411</v>
      </c>
      <c r="AI1019" s="32" t="s">
        <v>1539</v>
      </c>
      <c r="AK1019" s="40" t="s">
        <v>1611</v>
      </c>
      <c r="AL1019" s="32">
        <v>2008</v>
      </c>
      <c r="AM1019" s="32" t="s">
        <v>1612</v>
      </c>
      <c r="AN1019" s="32" t="s">
        <v>1613</v>
      </c>
      <c r="AO1019" s="38" t="s">
        <v>1614</v>
      </c>
      <c r="AP1019" s="35" t="s">
        <v>396</v>
      </c>
    </row>
    <row r="1020" spans="1:42" x14ac:dyDescent="0.2">
      <c r="A1020" s="40">
        <v>108</v>
      </c>
      <c r="B1020" s="40">
        <v>1019</v>
      </c>
      <c r="C1020" s="40" t="s">
        <v>241</v>
      </c>
      <c r="D1020" s="38" t="s">
        <v>241</v>
      </c>
      <c r="E1020" s="32" t="s">
        <v>2186</v>
      </c>
      <c r="F1020" s="32" t="s">
        <v>29</v>
      </c>
      <c r="G1020" s="38" t="s">
        <v>29</v>
      </c>
      <c r="H1020" s="32" t="s">
        <v>151</v>
      </c>
      <c r="I1020" s="32" t="s">
        <v>61</v>
      </c>
      <c r="J1020" s="32" t="s">
        <v>1605</v>
      </c>
      <c r="K1020" s="32" t="s">
        <v>1513</v>
      </c>
      <c r="L1020" s="32" t="s">
        <v>30</v>
      </c>
      <c r="M1020" s="32" t="s">
        <v>30</v>
      </c>
      <c r="N1020" s="40">
        <v>2008</v>
      </c>
      <c r="O1020" s="32">
        <f>VLOOKUP(Data!N1104, CPI!$A$2:$B$112, 2, 0)</f>
        <v>304.67675000000003</v>
      </c>
      <c r="P1020" s="32" t="s">
        <v>122</v>
      </c>
      <c r="Q1020" s="32" t="s">
        <v>4</v>
      </c>
      <c r="R1020" s="32" t="s">
        <v>1606</v>
      </c>
      <c r="S1020" s="32">
        <v>4300</v>
      </c>
      <c r="T1020" s="32" t="s">
        <v>1608</v>
      </c>
      <c r="U1020" s="32">
        <v>4300</v>
      </c>
      <c r="V1020" s="32" t="s">
        <v>1487</v>
      </c>
      <c r="W1020" s="32">
        <f>VLOOKUP(N1020, 'Exchange rate- Vietnam'!$A$2:$B$65, 2, 0)</f>
        <v>16302.25</v>
      </c>
      <c r="X1020" s="32">
        <f>U1020/W1020</f>
        <v>0.2637672713889187</v>
      </c>
      <c r="Y1020" s="32">
        <f>(CPI!$B$112/O1020)*X1020</f>
        <v>0.2637672713889187</v>
      </c>
      <c r="Z1020" s="38" t="s">
        <v>1609</v>
      </c>
      <c r="AA1020" s="35" t="s">
        <v>1464</v>
      </c>
      <c r="AB1020" s="32">
        <v>3140</v>
      </c>
      <c r="AC1020" s="32" t="s">
        <v>2591</v>
      </c>
      <c r="AH1020" s="32" t="s">
        <v>411</v>
      </c>
      <c r="AI1020" s="32" t="s">
        <v>1539</v>
      </c>
      <c r="AK1020" s="40" t="s">
        <v>1611</v>
      </c>
      <c r="AL1020" s="32">
        <v>2008</v>
      </c>
      <c r="AM1020" s="32" t="s">
        <v>1612</v>
      </c>
      <c r="AN1020" s="32" t="s">
        <v>1613</v>
      </c>
      <c r="AO1020" s="38" t="s">
        <v>1614</v>
      </c>
      <c r="AP1020" s="35" t="s">
        <v>396</v>
      </c>
    </row>
    <row r="1021" spans="1:42" x14ac:dyDescent="0.2">
      <c r="A1021" s="40">
        <v>109</v>
      </c>
      <c r="B1021" s="40">
        <v>1020</v>
      </c>
      <c r="C1021" s="40" t="s">
        <v>39</v>
      </c>
      <c r="D1021" s="38" t="s">
        <v>38</v>
      </c>
      <c r="E1021" s="32" t="s">
        <v>2186</v>
      </c>
      <c r="F1021" s="32" t="s">
        <v>29</v>
      </c>
      <c r="G1021" s="38" t="s">
        <v>29</v>
      </c>
      <c r="H1021" s="32" t="s">
        <v>151</v>
      </c>
      <c r="I1021" s="32" t="s">
        <v>243</v>
      </c>
      <c r="J1021" s="32" t="s">
        <v>1615</v>
      </c>
      <c r="K1021" s="32" t="s">
        <v>1513</v>
      </c>
      <c r="L1021" s="32" t="s">
        <v>30</v>
      </c>
      <c r="M1021" s="32" t="s">
        <v>30</v>
      </c>
      <c r="N1021" s="40">
        <v>2015</v>
      </c>
      <c r="O1021" s="32">
        <f>VLOOKUP(Data!N756, CPI!$A$2:$B$112, 2, 0)</f>
        <v>188.9</v>
      </c>
      <c r="P1021" s="32" t="s">
        <v>21</v>
      </c>
      <c r="Q1021" s="32" t="s">
        <v>239</v>
      </c>
      <c r="R1021" s="32" t="s">
        <v>1632</v>
      </c>
      <c r="S1021" s="32">
        <v>923.22</v>
      </c>
      <c r="T1021" s="32" t="s">
        <v>316</v>
      </c>
      <c r="U1021" s="32">
        <v>923.22</v>
      </c>
      <c r="V1021" s="32" t="s">
        <v>316</v>
      </c>
      <c r="X1021" s="32">
        <f t="shared" ref="X1021:X1034" si="61">U1021</f>
        <v>923.22</v>
      </c>
      <c r="Y1021" s="32">
        <f>(CPI!$B$112/O1021)*X1021</f>
        <v>1489.061244759132</v>
      </c>
      <c r="Z1021" s="38" t="s">
        <v>262</v>
      </c>
      <c r="AA1021" s="35" t="s">
        <v>1425</v>
      </c>
      <c r="AB1021" s="32" t="s">
        <v>30</v>
      </c>
      <c r="AH1021" s="32" t="s">
        <v>411</v>
      </c>
      <c r="AI1021" s="32" t="s">
        <v>1626</v>
      </c>
      <c r="AK1021" s="40" t="s">
        <v>1628</v>
      </c>
      <c r="AL1021" s="32">
        <v>2017</v>
      </c>
      <c r="AM1021" s="32" t="s">
        <v>1629</v>
      </c>
      <c r="AN1021" s="32" t="s">
        <v>1630</v>
      </c>
      <c r="AO1021" s="38" t="s">
        <v>1631</v>
      </c>
      <c r="AP1021" s="35" t="s">
        <v>396</v>
      </c>
    </row>
    <row r="1022" spans="1:42" x14ac:dyDescent="0.2">
      <c r="A1022" s="40">
        <v>109</v>
      </c>
      <c r="B1022" s="40">
        <v>1021</v>
      </c>
      <c r="C1022" s="40" t="s">
        <v>39</v>
      </c>
      <c r="D1022" s="38" t="s">
        <v>38</v>
      </c>
      <c r="E1022" s="32" t="s">
        <v>2186</v>
      </c>
      <c r="F1022" s="32" t="s">
        <v>29</v>
      </c>
      <c r="G1022" s="38" t="s">
        <v>29</v>
      </c>
      <c r="H1022" s="32" t="s">
        <v>151</v>
      </c>
      <c r="I1022" s="32" t="s">
        <v>243</v>
      </c>
      <c r="J1022" s="32" t="s">
        <v>1616</v>
      </c>
      <c r="K1022" s="32" t="s">
        <v>1513</v>
      </c>
      <c r="L1022" s="32" t="s">
        <v>30</v>
      </c>
      <c r="M1022" s="32" t="s">
        <v>30</v>
      </c>
      <c r="N1022" s="40">
        <v>2015</v>
      </c>
      <c r="O1022" s="32">
        <f>VLOOKUP(Data!N757, CPI!$A$2:$B$112, 2, 0)</f>
        <v>188.9</v>
      </c>
      <c r="P1022" s="32" t="s">
        <v>21</v>
      </c>
      <c r="Q1022" s="32" t="s">
        <v>239</v>
      </c>
      <c r="R1022" s="32" t="s">
        <v>1632</v>
      </c>
      <c r="S1022" s="32">
        <v>917.42</v>
      </c>
      <c r="T1022" s="32" t="s">
        <v>316</v>
      </c>
      <c r="U1022" s="32">
        <v>917.42</v>
      </c>
      <c r="V1022" s="32" t="s">
        <v>316</v>
      </c>
      <c r="X1022" s="32">
        <f t="shared" si="61"/>
        <v>917.42</v>
      </c>
      <c r="Y1022" s="32">
        <f>(CPI!$B$112/O1022)*X1022</f>
        <v>1479.7064266013765</v>
      </c>
      <c r="Z1022" s="38" t="s">
        <v>262</v>
      </c>
      <c r="AA1022" s="35" t="s">
        <v>1425</v>
      </c>
      <c r="AB1022" s="32" t="s">
        <v>30</v>
      </c>
      <c r="AH1022" s="32" t="s">
        <v>411</v>
      </c>
      <c r="AI1022" s="32" t="s">
        <v>1626</v>
      </c>
      <c r="AK1022" s="40" t="s">
        <v>1628</v>
      </c>
      <c r="AL1022" s="32">
        <v>2017</v>
      </c>
      <c r="AM1022" s="32" t="s">
        <v>1629</v>
      </c>
      <c r="AN1022" s="32" t="s">
        <v>1630</v>
      </c>
      <c r="AO1022" s="38" t="s">
        <v>1631</v>
      </c>
      <c r="AP1022" s="35" t="s">
        <v>396</v>
      </c>
    </row>
    <row r="1023" spans="1:42" x14ac:dyDescent="0.2">
      <c r="A1023" s="40">
        <v>109</v>
      </c>
      <c r="B1023" s="40">
        <v>1022</v>
      </c>
      <c r="C1023" s="40" t="s">
        <v>39</v>
      </c>
      <c r="D1023" s="38" t="s">
        <v>38</v>
      </c>
      <c r="E1023" s="32" t="s">
        <v>2186</v>
      </c>
      <c r="F1023" s="32" t="s">
        <v>29</v>
      </c>
      <c r="G1023" s="38" t="s">
        <v>29</v>
      </c>
      <c r="H1023" s="32" t="s">
        <v>151</v>
      </c>
      <c r="I1023" s="32" t="s">
        <v>243</v>
      </c>
      <c r="J1023" s="32" t="s">
        <v>1617</v>
      </c>
      <c r="K1023" s="32" t="s">
        <v>1513</v>
      </c>
      <c r="L1023" s="32" t="s">
        <v>30</v>
      </c>
      <c r="M1023" s="32" t="s">
        <v>30</v>
      </c>
      <c r="N1023" s="40">
        <v>2015</v>
      </c>
      <c r="O1023" s="32">
        <f>VLOOKUP(Data!N758, CPI!$A$2:$B$112, 2, 0)</f>
        <v>188.9</v>
      </c>
      <c r="P1023" s="32" t="s">
        <v>21</v>
      </c>
      <c r="Q1023" s="32" t="s">
        <v>239</v>
      </c>
      <c r="R1023" s="32" t="s">
        <v>1632</v>
      </c>
      <c r="S1023" s="32">
        <v>1136.5</v>
      </c>
      <c r="T1023" s="32" t="s">
        <v>316</v>
      </c>
      <c r="U1023" s="32">
        <v>1136.5</v>
      </c>
      <c r="V1023" s="32" t="s">
        <v>316</v>
      </c>
      <c r="X1023" s="32">
        <f t="shared" si="61"/>
        <v>1136.5</v>
      </c>
      <c r="Y1023" s="32">
        <f>(CPI!$B$112/O1023)*X1023</f>
        <v>1833.0604890153522</v>
      </c>
      <c r="Z1023" s="38" t="s">
        <v>262</v>
      </c>
      <c r="AA1023" s="35" t="s">
        <v>1425</v>
      </c>
      <c r="AB1023" s="32" t="s">
        <v>30</v>
      </c>
      <c r="AH1023" s="32" t="s">
        <v>411</v>
      </c>
      <c r="AI1023" s="32" t="s">
        <v>1626</v>
      </c>
      <c r="AK1023" s="40" t="s">
        <v>1628</v>
      </c>
      <c r="AL1023" s="32">
        <v>2017</v>
      </c>
      <c r="AM1023" s="32" t="s">
        <v>1629</v>
      </c>
      <c r="AN1023" s="32" t="s">
        <v>1630</v>
      </c>
      <c r="AO1023" s="38" t="s">
        <v>1631</v>
      </c>
      <c r="AP1023" s="35" t="s">
        <v>396</v>
      </c>
    </row>
    <row r="1024" spans="1:42" x14ac:dyDescent="0.2">
      <c r="A1024" s="40">
        <v>109</v>
      </c>
      <c r="B1024" s="40">
        <v>1023</v>
      </c>
      <c r="C1024" s="40" t="s">
        <v>39</v>
      </c>
      <c r="D1024" s="38" t="s">
        <v>38</v>
      </c>
      <c r="E1024" s="32" t="s">
        <v>2186</v>
      </c>
      <c r="F1024" s="32" t="s">
        <v>29</v>
      </c>
      <c r="G1024" s="38" t="s">
        <v>29</v>
      </c>
      <c r="H1024" s="32" t="s">
        <v>151</v>
      </c>
      <c r="I1024" s="32" t="s">
        <v>243</v>
      </c>
      <c r="J1024" s="32" t="s">
        <v>1618</v>
      </c>
      <c r="K1024" s="32" t="s">
        <v>1513</v>
      </c>
      <c r="L1024" s="32" t="s">
        <v>30</v>
      </c>
      <c r="M1024" s="32" t="s">
        <v>30</v>
      </c>
      <c r="N1024" s="40">
        <v>2015</v>
      </c>
      <c r="O1024" s="32">
        <f>VLOOKUP(Data!N759, CPI!$A$2:$B$112, 2, 0)</f>
        <v>188.9</v>
      </c>
      <c r="P1024" s="32" t="s">
        <v>21</v>
      </c>
      <c r="Q1024" s="32" t="s">
        <v>239</v>
      </c>
      <c r="R1024" s="32" t="s">
        <v>1632</v>
      </c>
      <c r="S1024" s="32">
        <v>1022.23</v>
      </c>
      <c r="T1024" s="32" t="s">
        <v>316</v>
      </c>
      <c r="U1024" s="32">
        <v>1022.23</v>
      </c>
      <c r="V1024" s="32" t="s">
        <v>316</v>
      </c>
      <c r="X1024" s="32">
        <f t="shared" si="61"/>
        <v>1022.23</v>
      </c>
      <c r="Y1024" s="32">
        <f>(CPI!$B$112/O1024)*X1024</f>
        <v>1648.7544423107465</v>
      </c>
      <c r="Z1024" s="38" t="s">
        <v>262</v>
      </c>
      <c r="AA1024" s="35" t="s">
        <v>1425</v>
      </c>
      <c r="AB1024" s="32" t="s">
        <v>30</v>
      </c>
      <c r="AH1024" s="32" t="s">
        <v>411</v>
      </c>
      <c r="AI1024" s="32" t="s">
        <v>1626</v>
      </c>
      <c r="AK1024" s="40" t="s">
        <v>1628</v>
      </c>
      <c r="AL1024" s="32">
        <v>2017</v>
      </c>
      <c r="AM1024" s="32" t="s">
        <v>1629</v>
      </c>
      <c r="AN1024" s="32" t="s">
        <v>1630</v>
      </c>
      <c r="AO1024" s="38" t="s">
        <v>1631</v>
      </c>
      <c r="AP1024" s="35" t="s">
        <v>396</v>
      </c>
    </row>
    <row r="1025" spans="1:42" x14ac:dyDescent="0.2">
      <c r="A1025" s="40">
        <v>109</v>
      </c>
      <c r="B1025" s="40">
        <v>1024</v>
      </c>
      <c r="C1025" s="40" t="s">
        <v>39</v>
      </c>
      <c r="D1025" s="38" t="s">
        <v>38</v>
      </c>
      <c r="E1025" s="32" t="s">
        <v>2186</v>
      </c>
      <c r="F1025" s="32" t="s">
        <v>29</v>
      </c>
      <c r="G1025" s="38" t="s">
        <v>29</v>
      </c>
      <c r="H1025" s="32" t="s">
        <v>151</v>
      </c>
      <c r="I1025" s="32" t="s">
        <v>243</v>
      </c>
      <c r="J1025" s="32" t="s">
        <v>1619</v>
      </c>
      <c r="K1025" s="32" t="s">
        <v>1513</v>
      </c>
      <c r="L1025" s="32" t="s">
        <v>30</v>
      </c>
      <c r="M1025" s="32" t="s">
        <v>30</v>
      </c>
      <c r="N1025" s="40">
        <v>2015</v>
      </c>
      <c r="O1025" s="32">
        <f>VLOOKUP(Data!N760, CPI!$A$2:$B$112, 2, 0)</f>
        <v>188.9</v>
      </c>
      <c r="P1025" s="32" t="s">
        <v>21</v>
      </c>
      <c r="Q1025" s="32" t="s">
        <v>239</v>
      </c>
      <c r="R1025" s="32" t="s">
        <v>1632</v>
      </c>
      <c r="S1025" s="32">
        <v>900.99</v>
      </c>
      <c r="T1025" s="32" t="s">
        <v>316</v>
      </c>
      <c r="U1025" s="32">
        <v>900.99</v>
      </c>
      <c r="V1025" s="32" t="s">
        <v>316</v>
      </c>
      <c r="X1025" s="32">
        <f t="shared" si="61"/>
        <v>900.99</v>
      </c>
      <c r="Y1025" s="32">
        <f>(CPI!$B$112/O1025)*X1025</f>
        <v>1453.2064848200107</v>
      </c>
      <c r="Z1025" s="38" t="s">
        <v>262</v>
      </c>
      <c r="AA1025" s="35" t="s">
        <v>1425</v>
      </c>
      <c r="AB1025" s="32" t="s">
        <v>30</v>
      </c>
      <c r="AH1025" s="32" t="s">
        <v>411</v>
      </c>
      <c r="AI1025" s="32" t="s">
        <v>1626</v>
      </c>
      <c r="AK1025" s="40" t="s">
        <v>1628</v>
      </c>
      <c r="AL1025" s="32">
        <v>2017</v>
      </c>
      <c r="AM1025" s="32" t="s">
        <v>1629</v>
      </c>
      <c r="AN1025" s="32" t="s">
        <v>1630</v>
      </c>
      <c r="AO1025" s="38" t="s">
        <v>1631</v>
      </c>
      <c r="AP1025" s="35" t="s">
        <v>396</v>
      </c>
    </row>
    <row r="1026" spans="1:42" x14ac:dyDescent="0.2">
      <c r="A1026" s="40">
        <v>109</v>
      </c>
      <c r="B1026" s="40">
        <v>1025</v>
      </c>
      <c r="C1026" s="40" t="s">
        <v>39</v>
      </c>
      <c r="D1026" s="38" t="s">
        <v>38</v>
      </c>
      <c r="E1026" s="32" t="s">
        <v>2186</v>
      </c>
      <c r="F1026" s="32" t="s">
        <v>29</v>
      </c>
      <c r="G1026" s="38" t="s">
        <v>29</v>
      </c>
      <c r="H1026" s="32" t="s">
        <v>151</v>
      </c>
      <c r="I1026" s="32" t="s">
        <v>243</v>
      </c>
      <c r="J1026" s="32" t="s">
        <v>1620</v>
      </c>
      <c r="K1026" s="32" t="s">
        <v>1513</v>
      </c>
      <c r="L1026" s="32" t="s">
        <v>30</v>
      </c>
      <c r="M1026" s="32" t="s">
        <v>30</v>
      </c>
      <c r="N1026" s="40">
        <v>2015</v>
      </c>
      <c r="O1026" s="32">
        <f>VLOOKUP(Data!N761, CPI!$A$2:$B$112, 2, 0)</f>
        <v>188.9</v>
      </c>
      <c r="P1026" s="32" t="s">
        <v>21</v>
      </c>
      <c r="Q1026" s="32" t="s">
        <v>239</v>
      </c>
      <c r="R1026" s="32" t="s">
        <v>1632</v>
      </c>
      <c r="S1026" s="32">
        <v>1490.48</v>
      </c>
      <c r="T1026" s="32" t="s">
        <v>316</v>
      </c>
      <c r="U1026" s="32">
        <v>1490.48</v>
      </c>
      <c r="V1026" s="32" t="s">
        <v>316</v>
      </c>
      <c r="X1026" s="32">
        <f t="shared" si="61"/>
        <v>1490.48</v>
      </c>
      <c r="Y1026" s="32">
        <f>(CPI!$B$112/O1026)*X1026</f>
        <v>2403.9947185812603</v>
      </c>
      <c r="Z1026" s="38" t="s">
        <v>262</v>
      </c>
      <c r="AA1026" s="35" t="s">
        <v>1425</v>
      </c>
      <c r="AB1026" s="32" t="s">
        <v>30</v>
      </c>
      <c r="AH1026" s="32" t="s">
        <v>411</v>
      </c>
      <c r="AI1026" s="32" t="s">
        <v>1626</v>
      </c>
      <c r="AK1026" s="40" t="s">
        <v>1628</v>
      </c>
      <c r="AL1026" s="32">
        <v>2017</v>
      </c>
      <c r="AM1026" s="32" t="s">
        <v>1629</v>
      </c>
      <c r="AN1026" s="32" t="s">
        <v>1630</v>
      </c>
      <c r="AO1026" s="38" t="s">
        <v>1631</v>
      </c>
      <c r="AP1026" s="35" t="s">
        <v>396</v>
      </c>
    </row>
    <row r="1027" spans="1:42" x14ac:dyDescent="0.2">
      <c r="A1027" s="40">
        <v>109</v>
      </c>
      <c r="B1027" s="40">
        <v>1026</v>
      </c>
      <c r="C1027" s="40" t="s">
        <v>39</v>
      </c>
      <c r="D1027" s="38" t="s">
        <v>38</v>
      </c>
      <c r="E1027" s="32" t="s">
        <v>2186</v>
      </c>
      <c r="F1027" s="32" t="s">
        <v>29</v>
      </c>
      <c r="G1027" s="38" t="s">
        <v>29</v>
      </c>
      <c r="H1027" s="32" t="s">
        <v>151</v>
      </c>
      <c r="I1027" s="32" t="s">
        <v>243</v>
      </c>
      <c r="J1027" s="32" t="s">
        <v>1621</v>
      </c>
      <c r="K1027" s="32" t="s">
        <v>1513</v>
      </c>
      <c r="L1027" s="32" t="s">
        <v>30</v>
      </c>
      <c r="M1027" s="32" t="s">
        <v>30</v>
      </c>
      <c r="N1027" s="40">
        <v>2015</v>
      </c>
      <c r="O1027" s="32">
        <f>VLOOKUP(Data!N762, CPI!$A$2:$B$112, 2, 0)</f>
        <v>188.9</v>
      </c>
      <c r="P1027" s="32" t="s">
        <v>21</v>
      </c>
      <c r="Q1027" s="32" t="s">
        <v>239</v>
      </c>
      <c r="R1027" s="32" t="s">
        <v>1632</v>
      </c>
      <c r="S1027" s="32">
        <v>971.85</v>
      </c>
      <c r="T1027" s="32" t="s">
        <v>316</v>
      </c>
      <c r="U1027" s="32">
        <v>971.85</v>
      </c>
      <c r="V1027" s="32" t="s">
        <v>316</v>
      </c>
      <c r="X1027" s="32">
        <f t="shared" si="61"/>
        <v>971.85</v>
      </c>
      <c r="Y1027" s="32">
        <f>(CPI!$B$112/O1027)*X1027</f>
        <v>1567.496556312864</v>
      </c>
      <c r="Z1027" s="38" t="s">
        <v>262</v>
      </c>
      <c r="AA1027" s="35" t="s">
        <v>1425</v>
      </c>
      <c r="AB1027" s="32" t="s">
        <v>30</v>
      </c>
      <c r="AH1027" s="32" t="s">
        <v>411</v>
      </c>
      <c r="AI1027" s="32" t="s">
        <v>1626</v>
      </c>
      <c r="AK1027" s="40" t="s">
        <v>1628</v>
      </c>
      <c r="AL1027" s="32">
        <v>2017</v>
      </c>
      <c r="AM1027" s="32" t="s">
        <v>1629</v>
      </c>
      <c r="AN1027" s="32" t="s">
        <v>1630</v>
      </c>
      <c r="AO1027" s="38" t="s">
        <v>1631</v>
      </c>
      <c r="AP1027" s="35" t="s">
        <v>396</v>
      </c>
    </row>
    <row r="1028" spans="1:42" x14ac:dyDescent="0.2">
      <c r="A1028" s="40">
        <v>109</v>
      </c>
      <c r="B1028" s="40">
        <v>1027</v>
      </c>
      <c r="C1028" s="40" t="s">
        <v>39</v>
      </c>
      <c r="D1028" s="38" t="s">
        <v>38</v>
      </c>
      <c r="E1028" s="32" t="s">
        <v>2186</v>
      </c>
      <c r="F1028" s="32" t="s">
        <v>29</v>
      </c>
      <c r="G1028" s="38" t="s">
        <v>29</v>
      </c>
      <c r="H1028" s="32" t="s">
        <v>151</v>
      </c>
      <c r="I1028" s="32" t="s">
        <v>243</v>
      </c>
      <c r="J1028" s="32" t="s">
        <v>1622</v>
      </c>
      <c r="K1028" s="32" t="s">
        <v>1513</v>
      </c>
      <c r="L1028" s="32" t="s">
        <v>30</v>
      </c>
      <c r="M1028" s="32" t="s">
        <v>30</v>
      </c>
      <c r="N1028" s="40">
        <v>2015</v>
      </c>
      <c r="O1028" s="32">
        <f>VLOOKUP(Data!N763, CPI!$A$2:$B$112, 2, 0)</f>
        <v>188.9</v>
      </c>
      <c r="P1028" s="32" t="s">
        <v>21</v>
      </c>
      <c r="Q1028" s="32" t="s">
        <v>239</v>
      </c>
      <c r="R1028" s="32" t="s">
        <v>1632</v>
      </c>
      <c r="S1028" s="32">
        <v>1542.89</v>
      </c>
      <c r="T1028" s="32" t="s">
        <v>316</v>
      </c>
      <c r="U1028" s="32">
        <v>1542.89</v>
      </c>
      <c r="V1028" s="32" t="s">
        <v>316</v>
      </c>
      <c r="X1028" s="32">
        <f t="shared" si="61"/>
        <v>1542.89</v>
      </c>
      <c r="Y1028" s="32">
        <f>(CPI!$B$112/O1028)*X1028</f>
        <v>2488.526790934357</v>
      </c>
      <c r="Z1028" s="38" t="s">
        <v>262</v>
      </c>
      <c r="AA1028" s="35" t="s">
        <v>1425</v>
      </c>
      <c r="AB1028" s="32" t="s">
        <v>30</v>
      </c>
      <c r="AH1028" s="32" t="s">
        <v>411</v>
      </c>
      <c r="AI1028" s="32" t="s">
        <v>1626</v>
      </c>
      <c r="AK1028" s="40" t="s">
        <v>1628</v>
      </c>
      <c r="AL1028" s="32">
        <v>2017</v>
      </c>
      <c r="AM1028" s="32" t="s">
        <v>1629</v>
      </c>
      <c r="AN1028" s="32" t="s">
        <v>1630</v>
      </c>
      <c r="AO1028" s="38" t="s">
        <v>1631</v>
      </c>
      <c r="AP1028" s="35" t="s">
        <v>396</v>
      </c>
    </row>
    <row r="1029" spans="1:42" x14ac:dyDescent="0.2">
      <c r="A1029" s="40">
        <v>109</v>
      </c>
      <c r="B1029" s="40">
        <v>1028</v>
      </c>
      <c r="C1029" s="40" t="s">
        <v>39</v>
      </c>
      <c r="D1029" s="38" t="s">
        <v>38</v>
      </c>
      <c r="E1029" s="32" t="s">
        <v>2186</v>
      </c>
      <c r="F1029" s="32" t="s">
        <v>29</v>
      </c>
      <c r="G1029" s="38" t="s">
        <v>29</v>
      </c>
      <c r="H1029" s="32" t="s">
        <v>151</v>
      </c>
      <c r="I1029" s="32" t="s">
        <v>243</v>
      </c>
      <c r="J1029" s="32" t="s">
        <v>1623</v>
      </c>
      <c r="K1029" s="32" t="s">
        <v>1513</v>
      </c>
      <c r="L1029" s="32" t="s">
        <v>30</v>
      </c>
      <c r="M1029" s="32" t="s">
        <v>30</v>
      </c>
      <c r="N1029" s="40">
        <v>2015</v>
      </c>
      <c r="O1029" s="32">
        <f>VLOOKUP(Data!N764, CPI!$A$2:$B$112, 2, 0)</f>
        <v>188.9</v>
      </c>
      <c r="P1029" s="32" t="s">
        <v>21</v>
      </c>
      <c r="Q1029" s="32" t="s">
        <v>239</v>
      </c>
      <c r="R1029" s="32" t="s">
        <v>1632</v>
      </c>
      <c r="S1029" s="32">
        <v>1487.26</v>
      </c>
      <c r="T1029" s="32" t="s">
        <v>316</v>
      </c>
      <c r="U1029" s="32">
        <v>1487.26</v>
      </c>
      <c r="V1029" s="32" t="s">
        <v>316</v>
      </c>
      <c r="X1029" s="32">
        <f t="shared" si="61"/>
        <v>1487.26</v>
      </c>
      <c r="Y1029" s="32">
        <f>(CPI!$B$112/O1029)*X1029</f>
        <v>2398.8011816040234</v>
      </c>
      <c r="Z1029" s="38" t="s">
        <v>262</v>
      </c>
      <c r="AA1029" s="35" t="s">
        <v>1425</v>
      </c>
      <c r="AB1029" s="32" t="s">
        <v>30</v>
      </c>
      <c r="AH1029" s="32" t="s">
        <v>411</v>
      </c>
      <c r="AI1029" s="32" t="s">
        <v>1626</v>
      </c>
      <c r="AK1029" s="40" t="s">
        <v>1628</v>
      </c>
      <c r="AL1029" s="32">
        <v>2017</v>
      </c>
      <c r="AM1029" s="32" t="s">
        <v>1629</v>
      </c>
      <c r="AN1029" s="32" t="s">
        <v>1630</v>
      </c>
      <c r="AO1029" s="38" t="s">
        <v>1631</v>
      </c>
      <c r="AP1029" s="35" t="s">
        <v>396</v>
      </c>
    </row>
    <row r="1030" spans="1:42" x14ac:dyDescent="0.2">
      <c r="A1030" s="40">
        <v>109</v>
      </c>
      <c r="B1030" s="40">
        <v>1029</v>
      </c>
      <c r="C1030" s="40" t="s">
        <v>39</v>
      </c>
      <c r="D1030" s="38" t="s">
        <v>38</v>
      </c>
      <c r="E1030" s="32" t="s">
        <v>2186</v>
      </c>
      <c r="F1030" s="32" t="s">
        <v>29</v>
      </c>
      <c r="G1030" s="38" t="s">
        <v>29</v>
      </c>
      <c r="H1030" s="32" t="s">
        <v>151</v>
      </c>
      <c r="I1030" s="32" t="s">
        <v>243</v>
      </c>
      <c r="J1030" s="32" t="s">
        <v>1624</v>
      </c>
      <c r="K1030" s="32" t="s">
        <v>1513</v>
      </c>
      <c r="L1030" s="32" t="s">
        <v>30</v>
      </c>
      <c r="M1030" s="32" t="s">
        <v>30</v>
      </c>
      <c r="N1030" s="40">
        <v>2015</v>
      </c>
      <c r="O1030" s="32">
        <f>VLOOKUP(Data!N765, CPI!$A$2:$B$112, 2, 0)</f>
        <v>188.9</v>
      </c>
      <c r="P1030" s="32" t="s">
        <v>21</v>
      </c>
      <c r="Q1030" s="32" t="s">
        <v>239</v>
      </c>
      <c r="R1030" s="32" t="s">
        <v>1632</v>
      </c>
      <c r="S1030" s="32">
        <v>2006.7</v>
      </c>
      <c r="T1030" s="32" t="s">
        <v>316</v>
      </c>
      <c r="U1030" s="32">
        <v>2006.7</v>
      </c>
      <c r="V1030" s="32" t="s">
        <v>316</v>
      </c>
      <c r="X1030" s="32">
        <f t="shared" si="61"/>
        <v>2006.7</v>
      </c>
      <c r="Y1030" s="32">
        <f>(CPI!$B$112/O1030)*X1030</f>
        <v>3236.6057926151407</v>
      </c>
      <c r="Z1030" s="38" t="s">
        <v>262</v>
      </c>
      <c r="AA1030" s="35" t="s">
        <v>1425</v>
      </c>
      <c r="AB1030" s="32" t="s">
        <v>30</v>
      </c>
      <c r="AH1030" s="32" t="s">
        <v>411</v>
      </c>
      <c r="AI1030" s="32" t="s">
        <v>1626</v>
      </c>
      <c r="AK1030" s="40" t="s">
        <v>1628</v>
      </c>
      <c r="AL1030" s="32">
        <v>2017</v>
      </c>
      <c r="AM1030" s="32" t="s">
        <v>1629</v>
      </c>
      <c r="AN1030" s="32" t="s">
        <v>1630</v>
      </c>
      <c r="AO1030" s="38" t="s">
        <v>1631</v>
      </c>
      <c r="AP1030" s="35" t="s">
        <v>396</v>
      </c>
    </row>
    <row r="1031" spans="1:42" x14ac:dyDescent="0.2">
      <c r="A1031" s="40">
        <v>109</v>
      </c>
      <c r="B1031" s="40">
        <v>1030</v>
      </c>
      <c r="C1031" s="40" t="s">
        <v>39</v>
      </c>
      <c r="D1031" s="38" t="s">
        <v>38</v>
      </c>
      <c r="E1031" s="32" t="s">
        <v>2186</v>
      </c>
      <c r="F1031" s="32" t="s">
        <v>29</v>
      </c>
      <c r="G1031" s="38" t="s">
        <v>29</v>
      </c>
      <c r="H1031" s="32" t="s">
        <v>151</v>
      </c>
      <c r="I1031" s="32" t="s">
        <v>243</v>
      </c>
      <c r="J1031" s="32" t="s">
        <v>1625</v>
      </c>
      <c r="K1031" s="32" t="s">
        <v>1513</v>
      </c>
      <c r="L1031" s="32" t="s">
        <v>30</v>
      </c>
      <c r="M1031" s="32" t="s">
        <v>30</v>
      </c>
      <c r="N1031" s="40">
        <v>2015</v>
      </c>
      <c r="O1031" s="32">
        <f>VLOOKUP(Data!N766, CPI!$A$2:$B$112, 2, 0)</f>
        <v>240.00700000000001</v>
      </c>
      <c r="P1031" s="32" t="s">
        <v>21</v>
      </c>
      <c r="Q1031" s="32" t="s">
        <v>239</v>
      </c>
      <c r="R1031" s="32" t="s">
        <v>1632</v>
      </c>
      <c r="S1031" s="32">
        <v>1038.74</v>
      </c>
      <c r="T1031" s="32" t="s">
        <v>316</v>
      </c>
      <c r="U1031" s="32">
        <v>1038.74</v>
      </c>
      <c r="V1031" s="32" t="s">
        <v>316</v>
      </c>
      <c r="X1031" s="32">
        <f t="shared" si="61"/>
        <v>1038.74</v>
      </c>
      <c r="Y1031" s="32">
        <f>(CPI!$B$112/O1031)*X1031</f>
        <v>1318.6279037486406</v>
      </c>
      <c r="Z1031" s="38" t="s">
        <v>262</v>
      </c>
      <c r="AA1031" s="35" t="s">
        <v>1425</v>
      </c>
      <c r="AB1031" s="32" t="s">
        <v>30</v>
      </c>
      <c r="AH1031" s="32" t="s">
        <v>411</v>
      </c>
      <c r="AI1031" s="32" t="s">
        <v>1626</v>
      </c>
      <c r="AK1031" s="40" t="s">
        <v>1628</v>
      </c>
      <c r="AL1031" s="32">
        <v>2017</v>
      </c>
      <c r="AM1031" s="32" t="s">
        <v>1629</v>
      </c>
      <c r="AN1031" s="32" t="s">
        <v>1630</v>
      </c>
      <c r="AO1031" s="38" t="s">
        <v>1631</v>
      </c>
      <c r="AP1031" s="35" t="s">
        <v>396</v>
      </c>
    </row>
    <row r="1032" spans="1:42" x14ac:dyDescent="0.2">
      <c r="A1032" s="40">
        <v>109</v>
      </c>
      <c r="B1032" s="40">
        <v>1031</v>
      </c>
      <c r="C1032" s="40" t="s">
        <v>39</v>
      </c>
      <c r="D1032" s="38" t="s">
        <v>38</v>
      </c>
      <c r="E1032" s="32" t="s">
        <v>2186</v>
      </c>
      <c r="F1032" s="32" t="s">
        <v>29</v>
      </c>
      <c r="G1032" s="38" t="s">
        <v>29</v>
      </c>
      <c r="H1032" s="32" t="s">
        <v>151</v>
      </c>
      <c r="I1032" s="32" t="s">
        <v>61</v>
      </c>
      <c r="J1032" s="32" t="s">
        <v>1627</v>
      </c>
      <c r="K1032" s="32" t="s">
        <v>1513</v>
      </c>
      <c r="L1032" s="32" t="s">
        <v>30</v>
      </c>
      <c r="M1032" s="32" t="s">
        <v>30</v>
      </c>
      <c r="N1032" s="40">
        <v>2015</v>
      </c>
      <c r="O1032" s="32">
        <f>VLOOKUP(Data!N767, CPI!$A$2:$B$112, 2, 0)</f>
        <v>240.00700000000001</v>
      </c>
      <c r="P1032" s="32" t="s">
        <v>21</v>
      </c>
      <c r="Q1032" s="32" t="s">
        <v>239</v>
      </c>
      <c r="R1032" s="32" t="s">
        <v>1633</v>
      </c>
      <c r="S1032" s="32">
        <v>1300</v>
      </c>
      <c r="T1032" s="32" t="s">
        <v>316</v>
      </c>
      <c r="U1032" s="32">
        <v>1300</v>
      </c>
      <c r="V1032" s="32" t="s">
        <v>316</v>
      </c>
      <c r="X1032" s="32">
        <f t="shared" si="61"/>
        <v>1300</v>
      </c>
      <c r="Y1032" s="32">
        <f>(CPI!$B$112/O1032)*X1032</f>
        <v>1650.2842625423425</v>
      </c>
      <c r="Z1032" s="38" t="s">
        <v>262</v>
      </c>
      <c r="AA1032" s="35" t="s">
        <v>1425</v>
      </c>
      <c r="AB1032" s="32" t="s">
        <v>30</v>
      </c>
      <c r="AH1032" s="32" t="s">
        <v>411</v>
      </c>
      <c r="AI1032" s="32" t="s">
        <v>1626</v>
      </c>
      <c r="AK1032" s="40" t="s">
        <v>1628</v>
      </c>
      <c r="AL1032" s="32">
        <v>2017</v>
      </c>
      <c r="AM1032" s="32" t="s">
        <v>1629</v>
      </c>
      <c r="AN1032" s="32" t="s">
        <v>1630</v>
      </c>
      <c r="AO1032" s="38" t="s">
        <v>1631</v>
      </c>
      <c r="AP1032" s="35" t="s">
        <v>396</v>
      </c>
    </row>
    <row r="1033" spans="1:42" x14ac:dyDescent="0.2">
      <c r="A1033" s="40">
        <v>110</v>
      </c>
      <c r="B1033" s="40">
        <v>1032</v>
      </c>
      <c r="C1033" s="40" t="s">
        <v>119</v>
      </c>
      <c r="D1033" s="38" t="s">
        <v>128</v>
      </c>
      <c r="E1033" s="32" t="s">
        <v>2186</v>
      </c>
      <c r="F1033" s="32" t="s">
        <v>29</v>
      </c>
      <c r="G1033" s="38" t="s">
        <v>29</v>
      </c>
      <c r="H1033" s="32" t="s">
        <v>151</v>
      </c>
      <c r="I1033" s="32" t="s">
        <v>61</v>
      </c>
      <c r="J1033" s="32" t="s">
        <v>1637</v>
      </c>
      <c r="K1033" s="32" t="s">
        <v>1513</v>
      </c>
      <c r="L1033" s="32" t="s">
        <v>30</v>
      </c>
      <c r="M1033" s="32" t="s">
        <v>30</v>
      </c>
      <c r="N1033" s="40">
        <v>2012</v>
      </c>
      <c r="O1033" s="32">
        <f>VLOOKUP(Data!N768, CPI!$A$2:$B$112, 2, 0)</f>
        <v>240.00700000000001</v>
      </c>
      <c r="P1033" s="32" t="s">
        <v>56</v>
      </c>
      <c r="Q1033" s="32" t="s">
        <v>239</v>
      </c>
      <c r="R1033" s="32" t="s">
        <v>1634</v>
      </c>
      <c r="S1033" s="32">
        <v>8.5</v>
      </c>
      <c r="T1033" s="32" t="s">
        <v>316</v>
      </c>
      <c r="U1033" s="32">
        <v>8.5</v>
      </c>
      <c r="V1033" s="32" t="s">
        <v>316</v>
      </c>
      <c r="X1033" s="32">
        <f t="shared" si="61"/>
        <v>8.5</v>
      </c>
      <c r="Y1033" s="32">
        <f>(CPI!$B$112/O1033)*X1033</f>
        <v>10.790320178161471</v>
      </c>
      <c r="Z1033" s="38" t="s">
        <v>262</v>
      </c>
      <c r="AA1033" s="35" t="s">
        <v>1635</v>
      </c>
      <c r="AB1033" s="32" t="s">
        <v>30</v>
      </c>
      <c r="AH1033" s="32" t="s">
        <v>411</v>
      </c>
      <c r="AK1033" s="40" t="s">
        <v>1646</v>
      </c>
      <c r="AL1033" s="32">
        <v>2017</v>
      </c>
      <c r="AM1033" s="32" t="s">
        <v>1647</v>
      </c>
      <c r="AN1033" s="32" t="s">
        <v>1648</v>
      </c>
      <c r="AO1033" s="38" t="s">
        <v>1649</v>
      </c>
      <c r="AP1033" s="35" t="s">
        <v>396</v>
      </c>
    </row>
    <row r="1034" spans="1:42" x14ac:dyDescent="0.2">
      <c r="A1034" s="40">
        <v>110</v>
      </c>
      <c r="B1034" s="40">
        <v>1033</v>
      </c>
      <c r="C1034" s="40" t="s">
        <v>119</v>
      </c>
      <c r="D1034" s="38" t="s">
        <v>128</v>
      </c>
      <c r="E1034" s="32" t="s">
        <v>2186</v>
      </c>
      <c r="F1034" s="32" t="s">
        <v>29</v>
      </c>
      <c r="G1034" s="38" t="s">
        <v>29</v>
      </c>
      <c r="H1034" s="32" t="s">
        <v>151</v>
      </c>
      <c r="I1034" s="32" t="s">
        <v>61</v>
      </c>
      <c r="J1034" s="32" t="s">
        <v>1637</v>
      </c>
      <c r="K1034" s="32" t="s">
        <v>1513</v>
      </c>
      <c r="L1034" s="32" t="s">
        <v>30</v>
      </c>
      <c r="M1034" s="32" t="s">
        <v>30</v>
      </c>
      <c r="N1034" s="40">
        <v>2013</v>
      </c>
      <c r="O1034" s="32">
        <f>VLOOKUP(Data!N769, CPI!$A$2:$B$112, 2, 0)</f>
        <v>240.00700000000001</v>
      </c>
      <c r="P1034" s="32" t="s">
        <v>56</v>
      </c>
      <c r="Q1034" s="32" t="s">
        <v>239</v>
      </c>
      <c r="R1034" s="32" t="s">
        <v>1634</v>
      </c>
      <c r="S1034" s="32">
        <v>10</v>
      </c>
      <c r="T1034" s="32" t="s">
        <v>316</v>
      </c>
      <c r="U1034" s="32">
        <v>10</v>
      </c>
      <c r="V1034" s="32" t="s">
        <v>316</v>
      </c>
      <c r="X1034" s="32">
        <f t="shared" si="61"/>
        <v>10</v>
      </c>
      <c r="Y1034" s="32">
        <f>(CPI!$B$112/O1034)*X1034</f>
        <v>12.694494327248789</v>
      </c>
      <c r="Z1034" s="38" t="s">
        <v>262</v>
      </c>
      <c r="AA1034" s="35" t="s">
        <v>1635</v>
      </c>
      <c r="AB1034" s="32" t="s">
        <v>30</v>
      </c>
      <c r="AH1034" s="32" t="s">
        <v>411</v>
      </c>
      <c r="AK1034" s="40" t="s">
        <v>1646</v>
      </c>
      <c r="AL1034" s="32">
        <v>2017</v>
      </c>
      <c r="AM1034" s="32" t="s">
        <v>1647</v>
      </c>
      <c r="AN1034" s="32" t="s">
        <v>1648</v>
      </c>
      <c r="AO1034" s="38" t="s">
        <v>1649</v>
      </c>
      <c r="AP1034" s="35" t="s">
        <v>396</v>
      </c>
    </row>
    <row r="1035" spans="1:42" x14ac:dyDescent="0.2">
      <c r="A1035" s="40">
        <v>110</v>
      </c>
      <c r="B1035" s="40">
        <v>1034</v>
      </c>
      <c r="C1035" s="40" t="s">
        <v>119</v>
      </c>
      <c r="D1035" s="38" t="s">
        <v>128</v>
      </c>
      <c r="E1035" s="32" t="s">
        <v>2186</v>
      </c>
      <c r="F1035" s="32" t="s">
        <v>29</v>
      </c>
      <c r="G1035" s="38" t="s">
        <v>29</v>
      </c>
      <c r="H1035" s="32" t="s">
        <v>151</v>
      </c>
      <c r="I1035" s="32" t="s">
        <v>61</v>
      </c>
      <c r="J1035" s="32" t="s">
        <v>1638</v>
      </c>
      <c r="K1035" s="32" t="s">
        <v>1513</v>
      </c>
      <c r="L1035" s="32" t="s">
        <v>30</v>
      </c>
      <c r="M1035" s="32" t="s">
        <v>30</v>
      </c>
      <c r="N1035" s="40">
        <v>2013</v>
      </c>
      <c r="O1035" s="32">
        <f>VLOOKUP(Data!N1105, CPI!$A$2:$B$112, 2, 0)</f>
        <v>304.67675000000003</v>
      </c>
      <c r="P1035" s="32" t="s">
        <v>56</v>
      </c>
      <c r="Q1035" s="32" t="s">
        <v>239</v>
      </c>
      <c r="R1035" s="32" t="s">
        <v>1636</v>
      </c>
      <c r="S1035" s="32">
        <v>5851000</v>
      </c>
      <c r="T1035" s="32" t="s">
        <v>1385</v>
      </c>
      <c r="U1035" s="32">
        <f t="shared" ref="U1035:U1048" si="62">S1035/AB1035</f>
        <v>334342.85714285716</v>
      </c>
      <c r="V1035" s="32" t="s">
        <v>1487</v>
      </c>
      <c r="W1035" s="32">
        <f>VLOOKUP(N1035, 'Exchange rate- Vietnam'!$A$2:$B$65, 2, 0)</f>
        <v>20933.416666666701</v>
      </c>
      <c r="X1035" s="32">
        <f t="shared" ref="X1035:X1048" si="63">U1035/W1035</f>
        <v>15.97172895694794</v>
      </c>
      <c r="Y1035" s="32">
        <f>(CPI!$B$112/O1035)*X1035</f>
        <v>15.97172895694794</v>
      </c>
      <c r="Z1035" s="38" t="s">
        <v>1609</v>
      </c>
      <c r="AA1035" s="35" t="s">
        <v>1446</v>
      </c>
      <c r="AB1035" s="32">
        <v>17.5</v>
      </c>
      <c r="AH1035" s="32" t="s">
        <v>411</v>
      </c>
      <c r="AJ1035" s="35" t="s">
        <v>2278</v>
      </c>
      <c r="AK1035" s="40" t="s">
        <v>1646</v>
      </c>
      <c r="AL1035" s="32">
        <v>2017</v>
      </c>
      <c r="AM1035" s="32" t="s">
        <v>1647</v>
      </c>
      <c r="AN1035" s="32" t="s">
        <v>1648</v>
      </c>
      <c r="AO1035" s="38" t="s">
        <v>1649</v>
      </c>
      <c r="AP1035" s="35" t="s">
        <v>396</v>
      </c>
    </row>
    <row r="1036" spans="1:42" x14ac:dyDescent="0.2">
      <c r="A1036" s="40">
        <v>110</v>
      </c>
      <c r="B1036" s="40">
        <v>1035</v>
      </c>
      <c r="C1036" s="40" t="s">
        <v>119</v>
      </c>
      <c r="D1036" s="38" t="s">
        <v>128</v>
      </c>
      <c r="E1036" s="32" t="s">
        <v>2186</v>
      </c>
      <c r="F1036" s="32" t="s">
        <v>29</v>
      </c>
      <c r="G1036" s="38" t="s">
        <v>29</v>
      </c>
      <c r="H1036" s="32" t="s">
        <v>151</v>
      </c>
      <c r="I1036" s="32" t="s">
        <v>61</v>
      </c>
      <c r="J1036" s="32" t="s">
        <v>1639</v>
      </c>
      <c r="K1036" s="32" t="s">
        <v>1513</v>
      </c>
      <c r="L1036" s="32" t="s">
        <v>30</v>
      </c>
      <c r="M1036" s="32" t="s">
        <v>30</v>
      </c>
      <c r="N1036" s="40">
        <v>2013</v>
      </c>
      <c r="O1036" s="32">
        <f>VLOOKUP(Data!N1106, CPI!$A$2:$B$112, 2, 0)</f>
        <v>304.67675000000003</v>
      </c>
      <c r="P1036" s="32" t="s">
        <v>56</v>
      </c>
      <c r="Q1036" s="32" t="s">
        <v>239</v>
      </c>
      <c r="R1036" s="32" t="s">
        <v>1636</v>
      </c>
      <c r="S1036" s="32">
        <v>828000000</v>
      </c>
      <c r="T1036" s="32" t="s">
        <v>1385</v>
      </c>
      <c r="U1036" s="32">
        <f t="shared" si="62"/>
        <v>920000</v>
      </c>
      <c r="V1036" s="32" t="s">
        <v>1487</v>
      </c>
      <c r="W1036" s="32">
        <f>VLOOKUP(N1036, 'Exchange rate- Vietnam'!$A$2:$B$65, 2, 0)</f>
        <v>20933.416666666701</v>
      </c>
      <c r="X1036" s="32">
        <f t="shared" si="63"/>
        <v>43.948869630295988</v>
      </c>
      <c r="Y1036" s="32">
        <f>(CPI!$B$112/O1036)*X1036</f>
        <v>43.948869630295988</v>
      </c>
      <c r="Z1036" s="38" t="s">
        <v>1609</v>
      </c>
      <c r="AA1036" s="35" t="s">
        <v>1446</v>
      </c>
      <c r="AB1036" s="32">
        <v>900</v>
      </c>
      <c r="AH1036" s="32" t="s">
        <v>411</v>
      </c>
      <c r="AJ1036" s="35" t="s">
        <v>2278</v>
      </c>
      <c r="AK1036" s="40" t="s">
        <v>1646</v>
      </c>
      <c r="AL1036" s="32">
        <v>2017</v>
      </c>
      <c r="AM1036" s="32" t="s">
        <v>1647</v>
      </c>
      <c r="AN1036" s="32" t="s">
        <v>1648</v>
      </c>
      <c r="AO1036" s="38" t="s">
        <v>1649</v>
      </c>
      <c r="AP1036" s="35" t="s">
        <v>396</v>
      </c>
    </row>
    <row r="1037" spans="1:42" x14ac:dyDescent="0.2">
      <c r="A1037" s="40">
        <v>110</v>
      </c>
      <c r="B1037" s="40">
        <v>1036</v>
      </c>
      <c r="C1037" s="40" t="s">
        <v>119</v>
      </c>
      <c r="D1037" s="38" t="s">
        <v>128</v>
      </c>
      <c r="E1037" s="32" t="s">
        <v>2186</v>
      </c>
      <c r="F1037" s="32" t="s">
        <v>29</v>
      </c>
      <c r="G1037" s="38" t="s">
        <v>29</v>
      </c>
      <c r="H1037" s="32" t="s">
        <v>151</v>
      </c>
      <c r="I1037" s="32" t="s">
        <v>61</v>
      </c>
      <c r="J1037" s="32" t="s">
        <v>1640</v>
      </c>
      <c r="K1037" s="32" t="s">
        <v>1513</v>
      </c>
      <c r="L1037" s="32" t="s">
        <v>30</v>
      </c>
      <c r="M1037" s="32" t="s">
        <v>30</v>
      </c>
      <c r="N1037" s="40">
        <v>2013</v>
      </c>
      <c r="O1037" s="32">
        <f>VLOOKUP(Data!N1107, CPI!$A$2:$B$112, 2, 0)</f>
        <v>304.67675000000003</v>
      </c>
      <c r="P1037" s="32" t="s">
        <v>56</v>
      </c>
      <c r="Q1037" s="32" t="s">
        <v>239</v>
      </c>
      <c r="R1037" s="32" t="s">
        <v>1636</v>
      </c>
      <c r="S1037" s="58">
        <v>754600000</v>
      </c>
      <c r="T1037" s="32" t="s">
        <v>1385</v>
      </c>
      <c r="U1037" s="32">
        <f t="shared" si="62"/>
        <v>350000</v>
      </c>
      <c r="V1037" s="32" t="s">
        <v>1487</v>
      </c>
      <c r="W1037" s="32">
        <f>VLOOKUP(N1037, 'Exchange rate- Vietnam'!$A$2:$B$65, 2, 0)</f>
        <v>20933.416666666701</v>
      </c>
      <c r="X1037" s="32">
        <f t="shared" si="63"/>
        <v>16.719678663699561</v>
      </c>
      <c r="Y1037" s="32">
        <f>(CPI!$B$112/O1037)*X1037</f>
        <v>16.719678663699561</v>
      </c>
      <c r="Z1037" s="38" t="s">
        <v>1609</v>
      </c>
      <c r="AA1037" s="35" t="s">
        <v>1446</v>
      </c>
      <c r="AB1037" s="32">
        <v>2156</v>
      </c>
      <c r="AH1037" s="32" t="s">
        <v>411</v>
      </c>
      <c r="AJ1037" s="35" t="s">
        <v>2278</v>
      </c>
      <c r="AK1037" s="40" t="s">
        <v>1646</v>
      </c>
      <c r="AL1037" s="32">
        <v>2017</v>
      </c>
      <c r="AM1037" s="32" t="s">
        <v>1647</v>
      </c>
      <c r="AN1037" s="32" t="s">
        <v>1648</v>
      </c>
      <c r="AO1037" s="38" t="s">
        <v>1649</v>
      </c>
      <c r="AP1037" s="35" t="s">
        <v>396</v>
      </c>
    </row>
    <row r="1038" spans="1:42" x14ac:dyDescent="0.2">
      <c r="A1038" s="40">
        <v>110</v>
      </c>
      <c r="B1038" s="40">
        <v>1037</v>
      </c>
      <c r="C1038" s="40" t="s">
        <v>119</v>
      </c>
      <c r="D1038" s="38" t="s">
        <v>128</v>
      </c>
      <c r="E1038" s="32" t="s">
        <v>2186</v>
      </c>
      <c r="F1038" s="32" t="s">
        <v>29</v>
      </c>
      <c r="G1038" s="38" t="s">
        <v>29</v>
      </c>
      <c r="H1038" s="32" t="s">
        <v>151</v>
      </c>
      <c r="I1038" s="32" t="s">
        <v>61</v>
      </c>
      <c r="J1038" s="32" t="s">
        <v>1641</v>
      </c>
      <c r="K1038" s="32" t="s">
        <v>1513</v>
      </c>
      <c r="L1038" s="32" t="s">
        <v>30</v>
      </c>
      <c r="M1038" s="32" t="s">
        <v>30</v>
      </c>
      <c r="N1038" s="40">
        <v>2013</v>
      </c>
      <c r="O1038" s="32">
        <f>VLOOKUP(Data!N1108, CPI!$A$2:$B$112, 2, 0)</f>
        <v>304.67675000000003</v>
      </c>
      <c r="P1038" s="32" t="s">
        <v>56</v>
      </c>
      <c r="Q1038" s="32" t="s">
        <v>239</v>
      </c>
      <c r="R1038" s="32" t="s">
        <v>1636</v>
      </c>
      <c r="S1038" s="58">
        <v>50061000</v>
      </c>
      <c r="T1038" s="32" t="s">
        <v>1385</v>
      </c>
      <c r="U1038" s="32">
        <f t="shared" si="62"/>
        <v>350076.92307692306</v>
      </c>
      <c r="V1038" s="32" t="s">
        <v>1487</v>
      </c>
      <c r="W1038" s="32">
        <f>VLOOKUP(N1038, 'Exchange rate- Vietnam'!$A$2:$B$65, 2, 0)</f>
        <v>20933.416666666701</v>
      </c>
      <c r="X1038" s="32">
        <f t="shared" si="63"/>
        <v>16.72335331835092</v>
      </c>
      <c r="Y1038" s="32">
        <f>(CPI!$B$112/O1038)*X1038</f>
        <v>16.72335331835092</v>
      </c>
      <c r="Z1038" s="38" t="s">
        <v>1609</v>
      </c>
      <c r="AA1038" s="35" t="s">
        <v>1446</v>
      </c>
      <c r="AB1038" s="32">
        <v>143</v>
      </c>
      <c r="AH1038" s="32" t="s">
        <v>411</v>
      </c>
      <c r="AJ1038" s="35" t="s">
        <v>2278</v>
      </c>
      <c r="AK1038" s="40" t="s">
        <v>1646</v>
      </c>
      <c r="AL1038" s="32">
        <v>2017</v>
      </c>
      <c r="AM1038" s="32" t="s">
        <v>1647</v>
      </c>
      <c r="AN1038" s="32" t="s">
        <v>1648</v>
      </c>
      <c r="AO1038" s="38" t="s">
        <v>1649</v>
      </c>
      <c r="AP1038" s="35" t="s">
        <v>396</v>
      </c>
    </row>
    <row r="1039" spans="1:42" x14ac:dyDescent="0.2">
      <c r="A1039" s="40">
        <v>110</v>
      </c>
      <c r="B1039" s="40">
        <v>1038</v>
      </c>
      <c r="C1039" s="40" t="s">
        <v>119</v>
      </c>
      <c r="D1039" s="38" t="s">
        <v>128</v>
      </c>
      <c r="E1039" s="32" t="s">
        <v>2186</v>
      </c>
      <c r="F1039" s="32" t="s">
        <v>29</v>
      </c>
      <c r="G1039" s="38" t="s">
        <v>29</v>
      </c>
      <c r="H1039" s="32" t="s">
        <v>151</v>
      </c>
      <c r="I1039" s="32" t="s">
        <v>61</v>
      </c>
      <c r="J1039" s="32" t="s">
        <v>1642</v>
      </c>
      <c r="K1039" s="32" t="s">
        <v>1513</v>
      </c>
      <c r="L1039" s="32" t="s">
        <v>30</v>
      </c>
      <c r="M1039" s="32" t="s">
        <v>30</v>
      </c>
      <c r="N1039" s="40">
        <v>2013</v>
      </c>
      <c r="O1039" s="32">
        <f>VLOOKUP(Data!N1109, CPI!$A$2:$B$112, 2, 0)</f>
        <v>304.67675000000003</v>
      </c>
      <c r="P1039" s="32" t="s">
        <v>56</v>
      </c>
      <c r="Q1039" s="32" t="s">
        <v>239</v>
      </c>
      <c r="R1039" s="32" t="s">
        <v>1636</v>
      </c>
      <c r="S1039" s="58">
        <v>54250000</v>
      </c>
      <c r="T1039" s="32" t="s">
        <v>1385</v>
      </c>
      <c r="U1039" s="32">
        <f t="shared" si="62"/>
        <v>350000</v>
      </c>
      <c r="V1039" s="32" t="s">
        <v>1487</v>
      </c>
      <c r="W1039" s="32">
        <f>VLOOKUP(N1039, 'Exchange rate- Vietnam'!$A$2:$B$65, 2, 0)</f>
        <v>20933.416666666701</v>
      </c>
      <c r="X1039" s="32">
        <f t="shared" si="63"/>
        <v>16.719678663699561</v>
      </c>
      <c r="Y1039" s="32">
        <f>(CPI!$B$112/O1039)*X1039</f>
        <v>16.719678663699561</v>
      </c>
      <c r="Z1039" s="38" t="s">
        <v>1609</v>
      </c>
      <c r="AA1039" s="35" t="s">
        <v>1446</v>
      </c>
      <c r="AB1039" s="32">
        <v>155</v>
      </c>
      <c r="AH1039" s="32" t="s">
        <v>411</v>
      </c>
      <c r="AJ1039" s="35" t="s">
        <v>2278</v>
      </c>
      <c r="AK1039" s="40" t="s">
        <v>1646</v>
      </c>
      <c r="AL1039" s="32">
        <v>2017</v>
      </c>
      <c r="AM1039" s="32" t="s">
        <v>1647</v>
      </c>
      <c r="AN1039" s="32" t="s">
        <v>1648</v>
      </c>
      <c r="AO1039" s="38" t="s">
        <v>1649</v>
      </c>
      <c r="AP1039" s="35" t="s">
        <v>396</v>
      </c>
    </row>
    <row r="1040" spans="1:42" x14ac:dyDescent="0.2">
      <c r="A1040" s="40">
        <v>110</v>
      </c>
      <c r="B1040" s="40">
        <v>1039</v>
      </c>
      <c r="C1040" s="40" t="s">
        <v>119</v>
      </c>
      <c r="D1040" s="38" t="s">
        <v>128</v>
      </c>
      <c r="E1040" s="32" t="s">
        <v>2186</v>
      </c>
      <c r="F1040" s="32" t="s">
        <v>29</v>
      </c>
      <c r="G1040" s="38" t="s">
        <v>29</v>
      </c>
      <c r="H1040" s="32" t="s">
        <v>151</v>
      </c>
      <c r="I1040" s="32" t="s">
        <v>61</v>
      </c>
      <c r="J1040" s="32" t="s">
        <v>1643</v>
      </c>
      <c r="K1040" s="32" t="s">
        <v>1513</v>
      </c>
      <c r="L1040" s="32" t="s">
        <v>30</v>
      </c>
      <c r="M1040" s="32" t="s">
        <v>30</v>
      </c>
      <c r="N1040" s="40">
        <v>2013</v>
      </c>
      <c r="O1040" s="32">
        <f>VLOOKUP(Data!N1110, CPI!$A$2:$B$112, 2, 0)</f>
        <v>304.67675000000003</v>
      </c>
      <c r="P1040" s="32" t="s">
        <v>56</v>
      </c>
      <c r="Q1040" s="32" t="s">
        <v>239</v>
      </c>
      <c r="R1040" s="32" t="s">
        <v>1636</v>
      </c>
      <c r="S1040" s="58">
        <v>74395000</v>
      </c>
      <c r="T1040" s="32" t="s">
        <v>1385</v>
      </c>
      <c r="U1040" s="32">
        <f t="shared" si="62"/>
        <v>350919.8113207547</v>
      </c>
      <c r="V1040" s="32" t="s">
        <v>1487</v>
      </c>
      <c r="W1040" s="32">
        <f>VLOOKUP(N1040, 'Exchange rate- Vietnam'!$A$2:$B$65, 2, 0)</f>
        <v>20933.416666666701</v>
      </c>
      <c r="X1040" s="32">
        <f t="shared" si="63"/>
        <v>16.763618520025993</v>
      </c>
      <c r="Y1040" s="32">
        <f>(CPI!$B$112/O1040)*X1040</f>
        <v>16.763618520025993</v>
      </c>
      <c r="Z1040" s="38" t="s">
        <v>1609</v>
      </c>
      <c r="AA1040" s="35" t="s">
        <v>1446</v>
      </c>
      <c r="AB1040" s="32">
        <v>212</v>
      </c>
      <c r="AH1040" s="32" t="s">
        <v>411</v>
      </c>
      <c r="AJ1040" s="35" t="s">
        <v>2278</v>
      </c>
      <c r="AK1040" s="40" t="s">
        <v>1646</v>
      </c>
      <c r="AL1040" s="32">
        <v>2017</v>
      </c>
      <c r="AM1040" s="32" t="s">
        <v>1647</v>
      </c>
      <c r="AN1040" s="32" t="s">
        <v>1648</v>
      </c>
      <c r="AO1040" s="38" t="s">
        <v>1649</v>
      </c>
      <c r="AP1040" s="35" t="s">
        <v>396</v>
      </c>
    </row>
    <row r="1041" spans="1:42" x14ac:dyDescent="0.2">
      <c r="A1041" s="40">
        <v>110</v>
      </c>
      <c r="B1041" s="40">
        <v>1040</v>
      </c>
      <c r="C1041" s="40" t="s">
        <v>119</v>
      </c>
      <c r="D1041" s="38" t="s">
        <v>128</v>
      </c>
      <c r="E1041" s="32" t="s">
        <v>2186</v>
      </c>
      <c r="F1041" s="32" t="s">
        <v>29</v>
      </c>
      <c r="G1041" s="38" t="s">
        <v>29</v>
      </c>
      <c r="H1041" s="32" t="s">
        <v>151</v>
      </c>
      <c r="I1041" s="32" t="s">
        <v>61</v>
      </c>
      <c r="J1041" s="32" t="s">
        <v>1644</v>
      </c>
      <c r="K1041" s="32" t="s">
        <v>1513</v>
      </c>
      <c r="L1041" s="32" t="s">
        <v>30</v>
      </c>
      <c r="M1041" s="32" t="s">
        <v>30</v>
      </c>
      <c r="N1041" s="40">
        <v>2013</v>
      </c>
      <c r="O1041" s="32">
        <f>VLOOKUP(Data!N1111, CPI!$A$2:$B$112, 2, 0)</f>
        <v>304.67675000000003</v>
      </c>
      <c r="P1041" s="32" t="s">
        <v>56</v>
      </c>
      <c r="Q1041" s="32" t="s">
        <v>239</v>
      </c>
      <c r="R1041" s="32" t="s">
        <v>1636</v>
      </c>
      <c r="S1041" s="58">
        <v>391766000</v>
      </c>
      <c r="T1041" s="32" t="s">
        <v>1385</v>
      </c>
      <c r="U1041" s="32">
        <f t="shared" si="62"/>
        <v>350103.66398570151</v>
      </c>
      <c r="V1041" s="32" t="s">
        <v>1487</v>
      </c>
      <c r="W1041" s="32">
        <f>VLOOKUP(N1041, 'Exchange rate- Vietnam'!$A$2:$B$65, 2, 0)</f>
        <v>20933.416666666701</v>
      </c>
      <c r="X1041" s="32">
        <f t="shared" si="63"/>
        <v>16.724630745213638</v>
      </c>
      <c r="Y1041" s="32">
        <f>(CPI!$B$112/O1041)*X1041</f>
        <v>16.724630745213638</v>
      </c>
      <c r="Z1041" s="38" t="s">
        <v>1609</v>
      </c>
      <c r="AA1041" s="35" t="s">
        <v>1446</v>
      </c>
      <c r="AB1041" s="32">
        <v>1119</v>
      </c>
      <c r="AH1041" s="32" t="s">
        <v>411</v>
      </c>
      <c r="AJ1041" s="35" t="s">
        <v>2278</v>
      </c>
      <c r="AK1041" s="40" t="s">
        <v>1646</v>
      </c>
      <c r="AL1041" s="32">
        <v>2017</v>
      </c>
      <c r="AM1041" s="32" t="s">
        <v>1647</v>
      </c>
      <c r="AN1041" s="32" t="s">
        <v>1648</v>
      </c>
      <c r="AO1041" s="38" t="s">
        <v>1649</v>
      </c>
      <c r="AP1041" s="35" t="s">
        <v>396</v>
      </c>
    </row>
    <row r="1042" spans="1:42" x14ac:dyDescent="0.2">
      <c r="A1042" s="40">
        <v>110</v>
      </c>
      <c r="B1042" s="40">
        <v>1041</v>
      </c>
      <c r="C1042" s="40" t="s">
        <v>119</v>
      </c>
      <c r="D1042" s="38" t="s">
        <v>128</v>
      </c>
      <c r="E1042" s="32" t="s">
        <v>2186</v>
      </c>
      <c r="F1042" s="32" t="s">
        <v>29</v>
      </c>
      <c r="G1042" s="38" t="s">
        <v>29</v>
      </c>
      <c r="H1042" s="32" t="s">
        <v>151</v>
      </c>
      <c r="I1042" s="32" t="s">
        <v>61</v>
      </c>
      <c r="J1042" s="32" t="s">
        <v>1638</v>
      </c>
      <c r="K1042" s="32" t="s">
        <v>1513</v>
      </c>
      <c r="L1042" s="32" t="s">
        <v>30</v>
      </c>
      <c r="M1042" s="32" t="s">
        <v>30</v>
      </c>
      <c r="N1042" s="40">
        <v>2014</v>
      </c>
      <c r="O1042" s="32">
        <f>VLOOKUP(Data!N1112, CPI!$A$2:$B$112, 2, 0)</f>
        <v>304.67675000000003</v>
      </c>
      <c r="P1042" s="32" t="s">
        <v>56</v>
      </c>
      <c r="Q1042" s="32" t="s">
        <v>239</v>
      </c>
      <c r="R1042" s="32" t="s">
        <v>1636</v>
      </c>
      <c r="S1042" s="32">
        <v>3350000</v>
      </c>
      <c r="T1042" s="32" t="s">
        <v>1385</v>
      </c>
      <c r="U1042" s="32">
        <f t="shared" si="62"/>
        <v>191428.57142857142</v>
      </c>
      <c r="V1042" s="32" t="s">
        <v>1487</v>
      </c>
      <c r="W1042" s="32">
        <f>VLOOKUP(N1042, 'Exchange rate- Vietnam'!$A$2:$B$65, 2, 0)</f>
        <v>21148</v>
      </c>
      <c r="X1042" s="32">
        <f t="shared" si="63"/>
        <v>9.0518522521548803</v>
      </c>
      <c r="Y1042" s="32">
        <f>(CPI!$B$112/O1042)*X1042</f>
        <v>9.0518522521548803</v>
      </c>
      <c r="Z1042" s="38" t="s">
        <v>1609</v>
      </c>
      <c r="AA1042" s="35" t="s">
        <v>1446</v>
      </c>
      <c r="AB1042" s="32">
        <v>17.5</v>
      </c>
      <c r="AH1042" s="32" t="s">
        <v>411</v>
      </c>
      <c r="AJ1042" s="35" t="s">
        <v>2278</v>
      </c>
      <c r="AK1042" s="40" t="s">
        <v>1646</v>
      </c>
      <c r="AL1042" s="32">
        <v>2017</v>
      </c>
      <c r="AM1042" s="32" t="s">
        <v>1647</v>
      </c>
      <c r="AN1042" s="32" t="s">
        <v>1648</v>
      </c>
      <c r="AO1042" s="38" t="s">
        <v>1649</v>
      </c>
      <c r="AP1042" s="35" t="s">
        <v>396</v>
      </c>
    </row>
    <row r="1043" spans="1:42" x14ac:dyDescent="0.2">
      <c r="A1043" s="40">
        <v>110</v>
      </c>
      <c r="B1043" s="40">
        <v>1042</v>
      </c>
      <c r="C1043" s="40" t="s">
        <v>119</v>
      </c>
      <c r="D1043" s="38" t="s">
        <v>128</v>
      </c>
      <c r="E1043" s="32" t="s">
        <v>2186</v>
      </c>
      <c r="F1043" s="32" t="s">
        <v>29</v>
      </c>
      <c r="G1043" s="38" t="s">
        <v>29</v>
      </c>
      <c r="H1043" s="32" t="s">
        <v>151</v>
      </c>
      <c r="I1043" s="32" t="s">
        <v>61</v>
      </c>
      <c r="J1043" s="32" t="s">
        <v>1639</v>
      </c>
      <c r="K1043" s="32" t="s">
        <v>1513</v>
      </c>
      <c r="L1043" s="32" t="s">
        <v>30</v>
      </c>
      <c r="M1043" s="32" t="s">
        <v>30</v>
      </c>
      <c r="N1043" s="40">
        <v>2014</v>
      </c>
      <c r="O1043" s="32">
        <f>VLOOKUP(Data!N1113, CPI!$A$2:$B$112, 2, 0)</f>
        <v>304.67675000000003</v>
      </c>
      <c r="P1043" s="32" t="s">
        <v>56</v>
      </c>
      <c r="Q1043" s="32" t="s">
        <v>239</v>
      </c>
      <c r="R1043" s="32" t="s">
        <v>1636</v>
      </c>
      <c r="S1043" s="58">
        <v>792000000</v>
      </c>
      <c r="T1043" s="32" t="s">
        <v>1385</v>
      </c>
      <c r="U1043" s="32">
        <f t="shared" si="62"/>
        <v>880000</v>
      </c>
      <c r="V1043" s="32" t="s">
        <v>1487</v>
      </c>
      <c r="W1043" s="32">
        <f>VLOOKUP(N1043, 'Exchange rate- Vietnam'!$A$2:$B$65, 2, 0)</f>
        <v>21148</v>
      </c>
      <c r="X1043" s="32">
        <f t="shared" si="63"/>
        <v>41.61149990542841</v>
      </c>
      <c r="Y1043" s="32">
        <f>(CPI!$B$112/O1043)*X1043</f>
        <v>41.61149990542841</v>
      </c>
      <c r="Z1043" s="38" t="s">
        <v>1609</v>
      </c>
      <c r="AA1043" s="35" t="s">
        <v>1446</v>
      </c>
      <c r="AB1043" s="32">
        <v>900</v>
      </c>
      <c r="AH1043" s="32" t="s">
        <v>411</v>
      </c>
      <c r="AJ1043" s="35" t="s">
        <v>2278</v>
      </c>
      <c r="AK1043" s="40" t="s">
        <v>1646</v>
      </c>
      <c r="AL1043" s="32">
        <v>2017</v>
      </c>
      <c r="AM1043" s="32" t="s">
        <v>1647</v>
      </c>
      <c r="AN1043" s="32" t="s">
        <v>1648</v>
      </c>
      <c r="AO1043" s="38" t="s">
        <v>1649</v>
      </c>
      <c r="AP1043" s="35" t="s">
        <v>396</v>
      </c>
    </row>
    <row r="1044" spans="1:42" x14ac:dyDescent="0.2">
      <c r="A1044" s="40">
        <v>110</v>
      </c>
      <c r="B1044" s="40">
        <v>1043</v>
      </c>
      <c r="C1044" s="40" t="s">
        <v>119</v>
      </c>
      <c r="D1044" s="38" t="s">
        <v>128</v>
      </c>
      <c r="E1044" s="32" t="s">
        <v>2186</v>
      </c>
      <c r="F1044" s="32" t="s">
        <v>29</v>
      </c>
      <c r="G1044" s="38" t="s">
        <v>29</v>
      </c>
      <c r="H1044" s="32" t="s">
        <v>151</v>
      </c>
      <c r="I1044" s="32" t="s">
        <v>61</v>
      </c>
      <c r="J1044" s="32" t="s">
        <v>1640</v>
      </c>
      <c r="K1044" s="32" t="s">
        <v>1513</v>
      </c>
      <c r="L1044" s="32" t="s">
        <v>30</v>
      </c>
      <c r="M1044" s="32" t="s">
        <v>30</v>
      </c>
      <c r="N1044" s="40">
        <v>2014</v>
      </c>
      <c r="O1044" s="32">
        <f>VLOOKUP(Data!N1114, CPI!$A$2:$B$112, 2, 0)</f>
        <v>304.67675000000003</v>
      </c>
      <c r="P1044" s="32" t="s">
        <v>56</v>
      </c>
      <c r="Q1044" s="32" t="s">
        <v>239</v>
      </c>
      <c r="R1044" s="32" t="s">
        <v>1636</v>
      </c>
      <c r="S1044" s="58">
        <v>503396000</v>
      </c>
      <c r="T1044" s="32" t="s">
        <v>1385</v>
      </c>
      <c r="U1044" s="32">
        <f t="shared" si="62"/>
        <v>233486.08534322819</v>
      </c>
      <c r="V1044" s="32" t="s">
        <v>1487</v>
      </c>
      <c r="W1044" s="32">
        <f>VLOOKUP(N1044, 'Exchange rate- Vietnam'!$A$2:$B$65, 2, 0)</f>
        <v>21148</v>
      </c>
      <c r="X1044" s="32">
        <f t="shared" si="63"/>
        <v>11.040575247930215</v>
      </c>
      <c r="Y1044" s="32">
        <f>(CPI!$B$112/O1044)*X1044</f>
        <v>11.040575247930215</v>
      </c>
      <c r="Z1044" s="38" t="s">
        <v>1609</v>
      </c>
      <c r="AA1044" s="35" t="s">
        <v>1446</v>
      </c>
      <c r="AB1044" s="32">
        <v>2156</v>
      </c>
      <c r="AH1044" s="32" t="s">
        <v>411</v>
      </c>
      <c r="AJ1044" s="35" t="s">
        <v>2278</v>
      </c>
      <c r="AK1044" s="40" t="s">
        <v>1646</v>
      </c>
      <c r="AL1044" s="32">
        <v>2017</v>
      </c>
      <c r="AM1044" s="32" t="s">
        <v>1647</v>
      </c>
      <c r="AN1044" s="32" t="s">
        <v>1648</v>
      </c>
      <c r="AO1044" s="38" t="s">
        <v>1649</v>
      </c>
      <c r="AP1044" s="35" t="s">
        <v>396</v>
      </c>
    </row>
    <row r="1045" spans="1:42" x14ac:dyDescent="0.2">
      <c r="A1045" s="40">
        <v>110</v>
      </c>
      <c r="B1045" s="40">
        <v>1044</v>
      </c>
      <c r="C1045" s="40" t="s">
        <v>119</v>
      </c>
      <c r="D1045" s="38" t="s">
        <v>128</v>
      </c>
      <c r="E1045" s="32" t="s">
        <v>2186</v>
      </c>
      <c r="F1045" s="32" t="s">
        <v>29</v>
      </c>
      <c r="G1045" s="38" t="s">
        <v>29</v>
      </c>
      <c r="H1045" s="32" t="s">
        <v>151</v>
      </c>
      <c r="I1045" s="32" t="s">
        <v>61</v>
      </c>
      <c r="J1045" s="32" t="s">
        <v>1641</v>
      </c>
      <c r="K1045" s="32" t="s">
        <v>1513</v>
      </c>
      <c r="L1045" s="32" t="s">
        <v>30</v>
      </c>
      <c r="M1045" s="32" t="s">
        <v>30</v>
      </c>
      <c r="N1045" s="40">
        <v>2014</v>
      </c>
      <c r="O1045" s="32">
        <f>VLOOKUP(Data!N1115, CPI!$A$2:$B$112, 2, 0)</f>
        <v>304.67675000000003</v>
      </c>
      <c r="P1045" s="32" t="s">
        <v>56</v>
      </c>
      <c r="Q1045" s="32" t="s">
        <v>239</v>
      </c>
      <c r="R1045" s="32" t="s">
        <v>1636</v>
      </c>
      <c r="S1045" s="58">
        <v>28606000</v>
      </c>
      <c r="T1045" s="32" t="s">
        <v>1385</v>
      </c>
      <c r="U1045" s="32">
        <f t="shared" si="62"/>
        <v>200041.95804195805</v>
      </c>
      <c r="V1045" s="32" t="s">
        <v>1487</v>
      </c>
      <c r="W1045" s="32">
        <f>VLOOKUP(N1045, 'Exchange rate- Vietnam'!$A$2:$B$65, 2, 0)</f>
        <v>21148</v>
      </c>
      <c r="X1045" s="32">
        <f t="shared" si="63"/>
        <v>9.4591430888007402</v>
      </c>
      <c r="Y1045" s="32">
        <f>(CPI!$B$112/O1045)*X1045</f>
        <v>9.4591430888007402</v>
      </c>
      <c r="Z1045" s="38" t="s">
        <v>1609</v>
      </c>
      <c r="AA1045" s="35" t="s">
        <v>1446</v>
      </c>
      <c r="AB1045" s="32">
        <v>143</v>
      </c>
      <c r="AH1045" s="32" t="s">
        <v>411</v>
      </c>
      <c r="AJ1045" s="35" t="s">
        <v>2278</v>
      </c>
      <c r="AK1045" s="40" t="s">
        <v>1646</v>
      </c>
      <c r="AL1045" s="32">
        <v>2017</v>
      </c>
      <c r="AM1045" s="32" t="s">
        <v>1647</v>
      </c>
      <c r="AN1045" s="32" t="s">
        <v>1648</v>
      </c>
      <c r="AO1045" s="38" t="s">
        <v>1649</v>
      </c>
      <c r="AP1045" s="35" t="s">
        <v>396</v>
      </c>
    </row>
    <row r="1046" spans="1:42" x14ac:dyDescent="0.2">
      <c r="A1046" s="40">
        <v>110</v>
      </c>
      <c r="B1046" s="40">
        <v>1045</v>
      </c>
      <c r="C1046" s="40" t="s">
        <v>119</v>
      </c>
      <c r="D1046" s="38" t="s">
        <v>128</v>
      </c>
      <c r="E1046" s="32" t="s">
        <v>2186</v>
      </c>
      <c r="F1046" s="32" t="s">
        <v>29</v>
      </c>
      <c r="G1046" s="38" t="s">
        <v>29</v>
      </c>
      <c r="H1046" s="32" t="s">
        <v>151</v>
      </c>
      <c r="I1046" s="32" t="s">
        <v>61</v>
      </c>
      <c r="J1046" s="32" t="s">
        <v>1642</v>
      </c>
      <c r="K1046" s="32" t="s">
        <v>1513</v>
      </c>
      <c r="L1046" s="32" t="s">
        <v>30</v>
      </c>
      <c r="M1046" s="32" t="s">
        <v>30</v>
      </c>
      <c r="N1046" s="40">
        <v>2014</v>
      </c>
      <c r="O1046" s="32">
        <f>VLOOKUP(Data!N1116, CPI!$A$2:$B$112, 2, 0)</f>
        <v>304.67675000000003</v>
      </c>
      <c r="P1046" s="32" t="s">
        <v>56</v>
      </c>
      <c r="Q1046" s="32" t="s">
        <v>239</v>
      </c>
      <c r="R1046" s="32" t="s">
        <v>1636</v>
      </c>
      <c r="S1046" s="58">
        <v>30000000</v>
      </c>
      <c r="T1046" s="32" t="s">
        <v>1385</v>
      </c>
      <c r="U1046" s="32">
        <f t="shared" si="62"/>
        <v>193548.38709677418</v>
      </c>
      <c r="V1046" s="32" t="s">
        <v>1487</v>
      </c>
      <c r="W1046" s="32">
        <f>VLOOKUP(N1046, 'Exchange rate- Vietnam'!$A$2:$B$65, 2, 0)</f>
        <v>21148</v>
      </c>
      <c r="X1046" s="32">
        <f t="shared" si="63"/>
        <v>9.1520894220150453</v>
      </c>
      <c r="Y1046" s="32">
        <f>(CPI!$B$112/O1046)*X1046</f>
        <v>9.1520894220150453</v>
      </c>
      <c r="Z1046" s="38" t="s">
        <v>1609</v>
      </c>
      <c r="AA1046" s="35" t="s">
        <v>1446</v>
      </c>
      <c r="AB1046" s="32">
        <v>155</v>
      </c>
      <c r="AH1046" s="32" t="s">
        <v>411</v>
      </c>
      <c r="AJ1046" s="35" t="s">
        <v>2278</v>
      </c>
      <c r="AK1046" s="40" t="s">
        <v>1646</v>
      </c>
      <c r="AL1046" s="32">
        <v>2017</v>
      </c>
      <c r="AM1046" s="32" t="s">
        <v>1647</v>
      </c>
      <c r="AN1046" s="32" t="s">
        <v>1648</v>
      </c>
      <c r="AO1046" s="38" t="s">
        <v>1649</v>
      </c>
      <c r="AP1046" s="35" t="s">
        <v>396</v>
      </c>
    </row>
    <row r="1047" spans="1:42" x14ac:dyDescent="0.2">
      <c r="A1047" s="40">
        <v>110</v>
      </c>
      <c r="B1047" s="40">
        <v>1046</v>
      </c>
      <c r="C1047" s="40" t="s">
        <v>119</v>
      </c>
      <c r="D1047" s="38" t="s">
        <v>128</v>
      </c>
      <c r="E1047" s="32" t="s">
        <v>2186</v>
      </c>
      <c r="F1047" s="32" t="s">
        <v>29</v>
      </c>
      <c r="G1047" s="38" t="s">
        <v>29</v>
      </c>
      <c r="H1047" s="32" t="s">
        <v>151</v>
      </c>
      <c r="I1047" s="32" t="s">
        <v>61</v>
      </c>
      <c r="J1047" s="32" t="s">
        <v>1643</v>
      </c>
      <c r="K1047" s="32" t="s">
        <v>1513</v>
      </c>
      <c r="L1047" s="32" t="s">
        <v>30</v>
      </c>
      <c r="M1047" s="32" t="s">
        <v>30</v>
      </c>
      <c r="N1047" s="40">
        <v>2014</v>
      </c>
      <c r="O1047" s="32">
        <f>VLOOKUP(Data!N1117, CPI!$A$2:$B$112, 2, 0)</f>
        <v>304.67675000000003</v>
      </c>
      <c r="P1047" s="32" t="s">
        <v>56</v>
      </c>
      <c r="Q1047" s="32" t="s">
        <v>239</v>
      </c>
      <c r="R1047" s="32" t="s">
        <v>1636</v>
      </c>
      <c r="S1047" s="58">
        <v>42511000</v>
      </c>
      <c r="T1047" s="32" t="s">
        <v>1385</v>
      </c>
      <c r="U1047" s="32">
        <f t="shared" si="62"/>
        <v>200523.58490566039</v>
      </c>
      <c r="V1047" s="32" t="s">
        <v>1487</v>
      </c>
      <c r="W1047" s="32">
        <f>VLOOKUP(N1047, 'Exchange rate- Vietnam'!$A$2:$B$65, 2, 0)</f>
        <v>21148</v>
      </c>
      <c r="X1047" s="32">
        <f t="shared" si="63"/>
        <v>9.4819171981114234</v>
      </c>
      <c r="Y1047" s="32">
        <f>(CPI!$B$112/O1047)*X1047</f>
        <v>9.4819171981114234</v>
      </c>
      <c r="Z1047" s="38" t="s">
        <v>1609</v>
      </c>
      <c r="AA1047" s="35" t="s">
        <v>1446</v>
      </c>
      <c r="AB1047" s="32">
        <v>212</v>
      </c>
      <c r="AH1047" s="32" t="s">
        <v>411</v>
      </c>
      <c r="AJ1047" s="35" t="s">
        <v>2278</v>
      </c>
      <c r="AK1047" s="40" t="s">
        <v>1646</v>
      </c>
      <c r="AL1047" s="32">
        <v>2017</v>
      </c>
      <c r="AM1047" s="32" t="s">
        <v>1647</v>
      </c>
      <c r="AN1047" s="32" t="s">
        <v>1648</v>
      </c>
      <c r="AO1047" s="38" t="s">
        <v>1649</v>
      </c>
      <c r="AP1047" s="35" t="s">
        <v>396</v>
      </c>
    </row>
    <row r="1048" spans="1:42" x14ac:dyDescent="0.2">
      <c r="A1048" s="40">
        <v>110</v>
      </c>
      <c r="B1048" s="40">
        <v>1047</v>
      </c>
      <c r="C1048" s="40" t="s">
        <v>119</v>
      </c>
      <c r="D1048" s="38" t="s">
        <v>128</v>
      </c>
      <c r="E1048" s="32" t="s">
        <v>2186</v>
      </c>
      <c r="F1048" s="32" t="s">
        <v>29</v>
      </c>
      <c r="G1048" s="38" t="s">
        <v>29</v>
      </c>
      <c r="H1048" s="32" t="s">
        <v>151</v>
      </c>
      <c r="I1048" s="32" t="s">
        <v>61</v>
      </c>
      <c r="J1048" s="32" t="s">
        <v>1644</v>
      </c>
      <c r="K1048" s="32" t="s">
        <v>1513</v>
      </c>
      <c r="L1048" s="32" t="s">
        <v>30</v>
      </c>
      <c r="M1048" s="32" t="s">
        <v>30</v>
      </c>
      <c r="N1048" s="40">
        <v>2014</v>
      </c>
      <c r="O1048" s="32">
        <f>VLOOKUP(Data!N1118, CPI!$A$2:$B$112, 2, 0)</f>
        <v>304.67675000000003</v>
      </c>
      <c r="P1048" s="32" t="s">
        <v>56</v>
      </c>
      <c r="Q1048" s="32" t="s">
        <v>239</v>
      </c>
      <c r="R1048" s="32" t="s">
        <v>1636</v>
      </c>
      <c r="S1048" s="58">
        <v>554779000</v>
      </c>
      <c r="T1048" s="32" t="s">
        <v>1385</v>
      </c>
      <c r="U1048" s="32">
        <f t="shared" si="62"/>
        <v>495781.05451295798</v>
      </c>
      <c r="V1048" s="32" t="s">
        <v>1487</v>
      </c>
      <c r="W1048" s="32">
        <f>VLOOKUP(N1048, 'Exchange rate- Vietnam'!$A$2:$B$65, 2, 0)</f>
        <v>21148</v>
      </c>
      <c r="X1048" s="32">
        <f t="shared" si="63"/>
        <v>23.443401480658125</v>
      </c>
      <c r="Y1048" s="32">
        <f>(CPI!$B$112/O1048)*X1048</f>
        <v>23.443401480658125</v>
      </c>
      <c r="Z1048" s="38" t="s">
        <v>1609</v>
      </c>
      <c r="AA1048" s="35" t="s">
        <v>1446</v>
      </c>
      <c r="AB1048" s="32">
        <v>1119</v>
      </c>
      <c r="AH1048" s="32" t="s">
        <v>411</v>
      </c>
      <c r="AJ1048" s="35" t="s">
        <v>2278</v>
      </c>
      <c r="AK1048" s="40" t="s">
        <v>1646</v>
      </c>
      <c r="AL1048" s="32">
        <v>2017</v>
      </c>
      <c r="AM1048" s="32" t="s">
        <v>1647</v>
      </c>
      <c r="AN1048" s="32" t="s">
        <v>1648</v>
      </c>
      <c r="AO1048" s="38" t="s">
        <v>1649</v>
      </c>
      <c r="AP1048" s="35" t="s">
        <v>396</v>
      </c>
    </row>
    <row r="1049" spans="1:42" x14ac:dyDescent="0.2">
      <c r="A1049" s="40">
        <v>110</v>
      </c>
      <c r="B1049" s="40">
        <v>1048</v>
      </c>
      <c r="C1049" s="40" t="s">
        <v>119</v>
      </c>
      <c r="D1049" s="38" t="s">
        <v>128</v>
      </c>
      <c r="E1049" s="32" t="s">
        <v>2186</v>
      </c>
      <c r="F1049" s="32" t="s">
        <v>29</v>
      </c>
      <c r="G1049" s="38" t="s">
        <v>29</v>
      </c>
      <c r="H1049" s="32" t="s">
        <v>151</v>
      </c>
      <c r="I1049" s="32" t="s">
        <v>61</v>
      </c>
      <c r="J1049" s="32" t="s">
        <v>1645</v>
      </c>
      <c r="K1049" s="32" t="s">
        <v>1513</v>
      </c>
      <c r="L1049" s="32" t="s">
        <v>30</v>
      </c>
      <c r="M1049" s="32" t="s">
        <v>30</v>
      </c>
      <c r="N1049" s="40">
        <v>2013</v>
      </c>
      <c r="O1049" s="32">
        <f>VLOOKUP(Data!N1526, CPI!$A$2:$B$112, 2, 0)</f>
        <v>201.6</v>
      </c>
      <c r="P1049" s="32" t="s">
        <v>56</v>
      </c>
      <c r="Q1049" s="32" t="s">
        <v>239</v>
      </c>
      <c r="R1049" s="32" t="s">
        <v>1636</v>
      </c>
      <c r="S1049" s="58">
        <v>12541000</v>
      </c>
      <c r="T1049" s="32" t="s">
        <v>1385</v>
      </c>
      <c r="Z1049" s="38" t="s">
        <v>1609</v>
      </c>
      <c r="AA1049" s="35" t="s">
        <v>1446</v>
      </c>
      <c r="AB1049" s="32" t="s">
        <v>30</v>
      </c>
      <c r="AH1049" s="32" t="s">
        <v>411</v>
      </c>
      <c r="AK1049" s="40" t="s">
        <v>1646</v>
      </c>
      <c r="AL1049" s="32">
        <v>2017</v>
      </c>
      <c r="AM1049" s="32" t="s">
        <v>1647</v>
      </c>
      <c r="AN1049" s="32" t="s">
        <v>1648</v>
      </c>
      <c r="AO1049" s="38" t="s">
        <v>1649</v>
      </c>
      <c r="AP1049" s="35" t="s">
        <v>396</v>
      </c>
    </row>
    <row r="1050" spans="1:42" x14ac:dyDescent="0.2">
      <c r="A1050" s="40">
        <v>110</v>
      </c>
      <c r="B1050" s="40">
        <v>1049</v>
      </c>
      <c r="C1050" s="40" t="s">
        <v>119</v>
      </c>
      <c r="D1050" s="38" t="s">
        <v>128</v>
      </c>
      <c r="E1050" s="32" t="s">
        <v>2186</v>
      </c>
      <c r="F1050" s="32" t="s">
        <v>29</v>
      </c>
      <c r="G1050" s="38" t="s">
        <v>29</v>
      </c>
      <c r="H1050" s="32" t="s">
        <v>151</v>
      </c>
      <c r="I1050" s="32" t="s">
        <v>61</v>
      </c>
      <c r="J1050" s="32" t="s">
        <v>1645</v>
      </c>
      <c r="K1050" s="32" t="s">
        <v>1513</v>
      </c>
      <c r="L1050" s="32" t="s">
        <v>30</v>
      </c>
      <c r="M1050" s="32" t="s">
        <v>30</v>
      </c>
      <c r="N1050" s="40">
        <v>2014</v>
      </c>
      <c r="O1050" s="32">
        <f>VLOOKUP(Data!N1527, CPI!$A$2:$B$112, 2, 0)</f>
        <v>232.95699999999999</v>
      </c>
      <c r="P1050" s="32" t="s">
        <v>56</v>
      </c>
      <c r="Q1050" s="32" t="s">
        <v>239</v>
      </c>
      <c r="R1050" s="32" t="s">
        <v>1636</v>
      </c>
      <c r="S1050" s="58">
        <v>17759000</v>
      </c>
      <c r="T1050" s="32" t="s">
        <v>1385</v>
      </c>
      <c r="Z1050" s="38" t="s">
        <v>1609</v>
      </c>
      <c r="AA1050" s="35" t="s">
        <v>1446</v>
      </c>
      <c r="AB1050" s="32" t="s">
        <v>30</v>
      </c>
      <c r="AH1050" s="32" t="s">
        <v>411</v>
      </c>
      <c r="AK1050" s="40" t="s">
        <v>1646</v>
      </c>
      <c r="AL1050" s="32">
        <v>2017</v>
      </c>
      <c r="AM1050" s="32" t="s">
        <v>1647</v>
      </c>
      <c r="AN1050" s="32" t="s">
        <v>1648</v>
      </c>
      <c r="AO1050" s="38" t="s">
        <v>1649</v>
      </c>
      <c r="AP1050" s="35" t="s">
        <v>396</v>
      </c>
    </row>
    <row r="1051" spans="1:42" x14ac:dyDescent="0.2">
      <c r="A1051" s="40">
        <v>111</v>
      </c>
      <c r="B1051" s="40">
        <v>1050</v>
      </c>
      <c r="C1051" s="40" t="s">
        <v>119</v>
      </c>
      <c r="D1051" s="38" t="s">
        <v>128</v>
      </c>
      <c r="E1051" s="32" t="s">
        <v>2183</v>
      </c>
      <c r="F1051" s="32" t="s">
        <v>126</v>
      </c>
      <c r="G1051" s="38" t="s">
        <v>152</v>
      </c>
      <c r="H1051" s="32" t="s">
        <v>151</v>
      </c>
      <c r="I1051" s="32" t="s">
        <v>120</v>
      </c>
      <c r="J1051" s="32" t="s">
        <v>2592</v>
      </c>
      <c r="K1051" s="32" t="s">
        <v>1513</v>
      </c>
      <c r="L1051" s="32" t="s">
        <v>30</v>
      </c>
      <c r="M1051" s="32" t="s">
        <v>30</v>
      </c>
      <c r="N1051" s="40">
        <v>2016</v>
      </c>
      <c r="O1051" s="32">
        <f>VLOOKUP(Data!N770, CPI!$A$2:$B$112, 2, 0)</f>
        <v>240.00700000000001</v>
      </c>
      <c r="P1051" s="32" t="s">
        <v>7</v>
      </c>
      <c r="Q1051" s="32" t="s">
        <v>250</v>
      </c>
      <c r="R1051" s="32" t="s">
        <v>1650</v>
      </c>
      <c r="S1051" s="32">
        <v>279.89999999999998</v>
      </c>
      <c r="T1051" s="32" t="s">
        <v>1656</v>
      </c>
      <c r="U1051" s="32">
        <v>279.89999999999998</v>
      </c>
      <c r="V1051" s="32" t="s">
        <v>316</v>
      </c>
      <c r="X1051" s="32">
        <f t="shared" ref="X1051:X1062" si="64">U1051</f>
        <v>279.89999999999998</v>
      </c>
      <c r="Y1051" s="32">
        <f>(CPI!$B$112/O1051)*X1051</f>
        <v>355.31889621969356</v>
      </c>
      <c r="Z1051" s="38" t="s">
        <v>262</v>
      </c>
      <c r="AA1051" s="35" t="s">
        <v>1412</v>
      </c>
      <c r="AB1051" s="32">
        <v>7357</v>
      </c>
      <c r="AC1051" s="32" t="s">
        <v>2593</v>
      </c>
      <c r="AK1051" s="40" t="s">
        <v>1657</v>
      </c>
      <c r="AL1051" s="32">
        <v>2017</v>
      </c>
      <c r="AM1051" s="32" t="s">
        <v>1658</v>
      </c>
      <c r="AN1051" s="32" t="s">
        <v>1659</v>
      </c>
      <c r="AO1051" s="38" t="s">
        <v>1660</v>
      </c>
      <c r="AP1051" s="35" t="s">
        <v>396</v>
      </c>
    </row>
    <row r="1052" spans="1:42" x14ac:dyDescent="0.2">
      <c r="A1052" s="40">
        <v>111</v>
      </c>
      <c r="B1052" s="40">
        <v>1051</v>
      </c>
      <c r="C1052" s="40" t="s">
        <v>119</v>
      </c>
      <c r="D1052" s="38" t="s">
        <v>128</v>
      </c>
      <c r="E1052" s="32" t="s">
        <v>2183</v>
      </c>
      <c r="F1052" s="32" t="s">
        <v>126</v>
      </c>
      <c r="G1052" s="38" t="s">
        <v>152</v>
      </c>
      <c r="H1052" s="32" t="s">
        <v>151</v>
      </c>
      <c r="I1052" s="32" t="s">
        <v>120</v>
      </c>
      <c r="J1052" s="32" t="s">
        <v>2592</v>
      </c>
      <c r="K1052" s="32" t="s">
        <v>1513</v>
      </c>
      <c r="L1052" s="32" t="s">
        <v>30</v>
      </c>
      <c r="M1052" s="32" t="s">
        <v>30</v>
      </c>
      <c r="N1052" s="40">
        <v>2016</v>
      </c>
      <c r="O1052" s="32">
        <f>VLOOKUP(Data!N771, CPI!$A$2:$B$112, 2, 0)</f>
        <v>240.00700000000001</v>
      </c>
      <c r="P1052" s="32" t="s">
        <v>7</v>
      </c>
      <c r="Q1052" s="32" t="s">
        <v>250</v>
      </c>
      <c r="R1052" s="32" t="s">
        <v>1651</v>
      </c>
      <c r="S1052" s="32">
        <v>211.4</v>
      </c>
      <c r="T1052" s="32" t="s">
        <v>1656</v>
      </c>
      <c r="U1052" s="32">
        <v>211.4</v>
      </c>
      <c r="V1052" s="32" t="s">
        <v>316</v>
      </c>
      <c r="X1052" s="32">
        <f t="shared" si="64"/>
        <v>211.4</v>
      </c>
      <c r="Y1052" s="32">
        <f>(CPI!$B$112/O1052)*X1052</f>
        <v>268.3616100780394</v>
      </c>
      <c r="Z1052" s="38" t="s">
        <v>262</v>
      </c>
      <c r="AA1052" s="35" t="s">
        <v>1412</v>
      </c>
      <c r="AB1052" s="32">
        <v>7357</v>
      </c>
      <c r="AC1052" s="32" t="s">
        <v>2593</v>
      </c>
      <c r="AK1052" s="40" t="s">
        <v>1657</v>
      </c>
      <c r="AL1052" s="32">
        <v>2017</v>
      </c>
      <c r="AM1052" s="32" t="s">
        <v>1658</v>
      </c>
      <c r="AN1052" s="32" t="s">
        <v>1659</v>
      </c>
      <c r="AO1052" s="38" t="s">
        <v>1660</v>
      </c>
      <c r="AP1052" s="35" t="s">
        <v>396</v>
      </c>
    </row>
    <row r="1053" spans="1:42" x14ac:dyDescent="0.2">
      <c r="A1053" s="40">
        <v>111</v>
      </c>
      <c r="B1053" s="40">
        <v>1052</v>
      </c>
      <c r="C1053" s="40" t="s">
        <v>119</v>
      </c>
      <c r="D1053" s="38" t="s">
        <v>128</v>
      </c>
      <c r="E1053" s="32" t="s">
        <v>2183</v>
      </c>
      <c r="F1053" s="32" t="s">
        <v>126</v>
      </c>
      <c r="G1053" s="38" t="s">
        <v>152</v>
      </c>
      <c r="H1053" s="32" t="s">
        <v>151</v>
      </c>
      <c r="I1053" s="32" t="s">
        <v>120</v>
      </c>
      <c r="J1053" s="32" t="s">
        <v>2592</v>
      </c>
      <c r="K1053" s="32" t="s">
        <v>1513</v>
      </c>
      <c r="L1053" s="32" t="s">
        <v>30</v>
      </c>
      <c r="M1053" s="32" t="s">
        <v>30</v>
      </c>
      <c r="N1053" s="40">
        <v>2016</v>
      </c>
      <c r="O1053" s="32">
        <f>VLOOKUP(Data!N772, CPI!$A$2:$B$112, 2, 0)</f>
        <v>240.00700000000001</v>
      </c>
      <c r="P1053" s="32" t="s">
        <v>7</v>
      </c>
      <c r="Q1053" s="32" t="s">
        <v>250</v>
      </c>
      <c r="R1053" s="32" t="s">
        <v>1652</v>
      </c>
      <c r="S1053" s="32">
        <v>378.2</v>
      </c>
      <c r="T1053" s="32" t="s">
        <v>1656</v>
      </c>
      <c r="U1053" s="32">
        <v>378.2</v>
      </c>
      <c r="V1053" s="32" t="s">
        <v>316</v>
      </c>
      <c r="X1053" s="32">
        <f t="shared" si="64"/>
        <v>378.2</v>
      </c>
      <c r="Y1053" s="32">
        <f>(CPI!$B$112/O1053)*X1053</f>
        <v>480.10577545654917</v>
      </c>
      <c r="Z1053" s="38" t="s">
        <v>262</v>
      </c>
      <c r="AA1053" s="35" t="s">
        <v>1412</v>
      </c>
      <c r="AB1053" s="32">
        <v>7357</v>
      </c>
      <c r="AC1053" s="32" t="s">
        <v>2593</v>
      </c>
      <c r="AK1053" s="40" t="s">
        <v>1657</v>
      </c>
      <c r="AL1053" s="32">
        <v>2017</v>
      </c>
      <c r="AM1053" s="32" t="s">
        <v>1658</v>
      </c>
      <c r="AN1053" s="32" t="s">
        <v>1659</v>
      </c>
      <c r="AO1053" s="38" t="s">
        <v>1660</v>
      </c>
      <c r="AP1053" s="35" t="s">
        <v>396</v>
      </c>
    </row>
    <row r="1054" spans="1:42" x14ac:dyDescent="0.2">
      <c r="A1054" s="40">
        <v>111</v>
      </c>
      <c r="B1054" s="40">
        <v>1053</v>
      </c>
      <c r="C1054" s="40" t="s">
        <v>119</v>
      </c>
      <c r="D1054" s="38" t="s">
        <v>128</v>
      </c>
      <c r="E1054" s="32" t="s">
        <v>2183</v>
      </c>
      <c r="F1054" s="32" t="s">
        <v>126</v>
      </c>
      <c r="G1054" s="38" t="s">
        <v>152</v>
      </c>
      <c r="H1054" s="32" t="s">
        <v>151</v>
      </c>
      <c r="I1054" s="32" t="s">
        <v>120</v>
      </c>
      <c r="J1054" s="32" t="s">
        <v>2592</v>
      </c>
      <c r="K1054" s="32" t="s">
        <v>1513</v>
      </c>
      <c r="L1054" s="32" t="s">
        <v>30</v>
      </c>
      <c r="M1054" s="32" t="s">
        <v>30</v>
      </c>
      <c r="N1054" s="40">
        <v>2016</v>
      </c>
      <c r="O1054" s="32">
        <f>VLOOKUP(Data!N773, CPI!$A$2:$B$112, 2, 0)</f>
        <v>240.00700000000001</v>
      </c>
      <c r="P1054" s="32" t="s">
        <v>7</v>
      </c>
      <c r="Q1054" s="32" t="s">
        <v>250</v>
      </c>
      <c r="R1054" s="32" t="s">
        <v>1653</v>
      </c>
      <c r="S1054" s="32">
        <v>297.2</v>
      </c>
      <c r="T1054" s="32" t="s">
        <v>1656</v>
      </c>
      <c r="U1054" s="32">
        <v>297.2</v>
      </c>
      <c r="V1054" s="32" t="s">
        <v>316</v>
      </c>
      <c r="X1054" s="32">
        <f t="shared" si="64"/>
        <v>297.2</v>
      </c>
      <c r="Y1054" s="32">
        <f>(CPI!$B$112/O1054)*X1054</f>
        <v>377.28037140583399</v>
      </c>
      <c r="Z1054" s="38" t="s">
        <v>262</v>
      </c>
      <c r="AA1054" s="35" t="s">
        <v>1412</v>
      </c>
      <c r="AB1054" s="32">
        <v>7357</v>
      </c>
      <c r="AC1054" s="32" t="s">
        <v>2593</v>
      </c>
      <c r="AK1054" s="40" t="s">
        <v>1657</v>
      </c>
      <c r="AL1054" s="32">
        <v>2017</v>
      </c>
      <c r="AM1054" s="32" t="s">
        <v>1658</v>
      </c>
      <c r="AN1054" s="32" t="s">
        <v>1659</v>
      </c>
      <c r="AO1054" s="38" t="s">
        <v>1660</v>
      </c>
      <c r="AP1054" s="35" t="s">
        <v>396</v>
      </c>
    </row>
    <row r="1055" spans="1:42" x14ac:dyDescent="0.2">
      <c r="A1055" s="40">
        <v>111</v>
      </c>
      <c r="B1055" s="40">
        <v>1054</v>
      </c>
      <c r="C1055" s="40" t="s">
        <v>119</v>
      </c>
      <c r="D1055" s="38" t="s">
        <v>128</v>
      </c>
      <c r="E1055" s="32" t="s">
        <v>2183</v>
      </c>
      <c r="F1055" s="32" t="s">
        <v>126</v>
      </c>
      <c r="G1055" s="38" t="s">
        <v>152</v>
      </c>
      <c r="H1055" s="32" t="s">
        <v>151</v>
      </c>
      <c r="I1055" s="32" t="s">
        <v>120</v>
      </c>
      <c r="J1055" s="32" t="s">
        <v>2592</v>
      </c>
      <c r="K1055" s="32" t="s">
        <v>1513</v>
      </c>
      <c r="L1055" s="32" t="s">
        <v>30</v>
      </c>
      <c r="M1055" s="32" t="s">
        <v>30</v>
      </c>
      <c r="N1055" s="40">
        <v>2016</v>
      </c>
      <c r="O1055" s="32">
        <f>VLOOKUP(Data!N774, CPI!$A$2:$B$112, 2, 0)</f>
        <v>240.00700000000001</v>
      </c>
      <c r="P1055" s="32" t="s">
        <v>7</v>
      </c>
      <c r="Q1055" s="32" t="s">
        <v>250</v>
      </c>
      <c r="R1055" s="32" t="s">
        <v>1654</v>
      </c>
      <c r="S1055" s="32">
        <v>692.7</v>
      </c>
      <c r="T1055" s="32" t="s">
        <v>1656</v>
      </c>
      <c r="U1055" s="32">
        <v>692.7</v>
      </c>
      <c r="V1055" s="32" t="s">
        <v>316</v>
      </c>
      <c r="X1055" s="32">
        <f t="shared" si="64"/>
        <v>692.7</v>
      </c>
      <c r="Y1055" s="32">
        <f>(CPI!$B$112/O1055)*X1055</f>
        <v>879.3476220485237</v>
      </c>
      <c r="Z1055" s="38" t="s">
        <v>262</v>
      </c>
      <c r="AA1055" s="35" t="s">
        <v>1412</v>
      </c>
      <c r="AB1055" s="32">
        <v>7357</v>
      </c>
      <c r="AC1055" s="32" t="s">
        <v>2593</v>
      </c>
      <c r="AK1055" s="40" t="s">
        <v>1657</v>
      </c>
      <c r="AL1055" s="32">
        <v>2017</v>
      </c>
      <c r="AM1055" s="32" t="s">
        <v>1658</v>
      </c>
      <c r="AN1055" s="32" t="s">
        <v>1659</v>
      </c>
      <c r="AO1055" s="38" t="s">
        <v>1660</v>
      </c>
      <c r="AP1055" s="35" t="s">
        <v>396</v>
      </c>
    </row>
    <row r="1056" spans="1:42" x14ac:dyDescent="0.2">
      <c r="A1056" s="40">
        <v>111</v>
      </c>
      <c r="B1056" s="40">
        <v>1055</v>
      </c>
      <c r="C1056" s="40" t="s">
        <v>119</v>
      </c>
      <c r="D1056" s="38" t="s">
        <v>128</v>
      </c>
      <c r="E1056" s="32" t="s">
        <v>2183</v>
      </c>
      <c r="F1056" s="32" t="s">
        <v>126</v>
      </c>
      <c r="G1056" s="38" t="s">
        <v>152</v>
      </c>
      <c r="H1056" s="32" t="s">
        <v>151</v>
      </c>
      <c r="I1056" s="32" t="s">
        <v>120</v>
      </c>
      <c r="J1056" s="32" t="s">
        <v>2592</v>
      </c>
      <c r="K1056" s="32" t="s">
        <v>1513</v>
      </c>
      <c r="L1056" s="32" t="s">
        <v>30</v>
      </c>
      <c r="M1056" s="32" t="s">
        <v>30</v>
      </c>
      <c r="N1056" s="40">
        <v>2016</v>
      </c>
      <c r="O1056" s="32">
        <f>VLOOKUP(Data!N775, CPI!$A$2:$B$112, 2, 0)</f>
        <v>240.00700000000001</v>
      </c>
      <c r="P1056" s="32" t="s">
        <v>7</v>
      </c>
      <c r="Q1056" s="32" t="s">
        <v>250</v>
      </c>
      <c r="R1056" s="32" t="s">
        <v>1655</v>
      </c>
      <c r="S1056" s="32">
        <v>526.1</v>
      </c>
      <c r="T1056" s="32" t="s">
        <v>1656</v>
      </c>
      <c r="U1056" s="32">
        <v>526.1</v>
      </c>
      <c r="V1056" s="32" t="s">
        <v>316</v>
      </c>
      <c r="X1056" s="32">
        <f t="shared" si="64"/>
        <v>526.1</v>
      </c>
      <c r="Y1056" s="32">
        <f>(CPI!$B$112/O1056)*X1056</f>
        <v>667.85734655655881</v>
      </c>
      <c r="Z1056" s="38" t="s">
        <v>262</v>
      </c>
      <c r="AA1056" s="35" t="s">
        <v>1412</v>
      </c>
      <c r="AB1056" s="32">
        <v>7357</v>
      </c>
      <c r="AC1056" s="32" t="s">
        <v>2593</v>
      </c>
      <c r="AK1056" s="40" t="s">
        <v>1657</v>
      </c>
      <c r="AL1056" s="32">
        <v>2017</v>
      </c>
      <c r="AM1056" s="32" t="s">
        <v>1658</v>
      </c>
      <c r="AN1056" s="32" t="s">
        <v>1659</v>
      </c>
      <c r="AO1056" s="38" t="s">
        <v>1660</v>
      </c>
      <c r="AP1056" s="35" t="s">
        <v>396</v>
      </c>
    </row>
    <row r="1057" spans="1:42" x14ac:dyDescent="0.2">
      <c r="A1057" s="40">
        <v>112</v>
      </c>
      <c r="B1057" s="40">
        <v>1056</v>
      </c>
      <c r="C1057" s="40" t="s">
        <v>119</v>
      </c>
      <c r="D1057" s="38" t="s">
        <v>128</v>
      </c>
      <c r="E1057" s="32" t="s">
        <v>2186</v>
      </c>
      <c r="F1057" s="32" t="s">
        <v>29</v>
      </c>
      <c r="G1057" s="38" t="s">
        <v>29</v>
      </c>
      <c r="H1057" s="32" t="s">
        <v>242</v>
      </c>
      <c r="I1057" s="32" t="s">
        <v>120</v>
      </c>
      <c r="J1057" s="32" t="s">
        <v>1661</v>
      </c>
      <c r="K1057" s="32" t="s">
        <v>1513</v>
      </c>
      <c r="L1057" s="32" t="s">
        <v>30</v>
      </c>
      <c r="M1057" s="32" t="s">
        <v>30</v>
      </c>
      <c r="N1057" s="40">
        <v>2011</v>
      </c>
      <c r="O1057" s="32">
        <f>VLOOKUP(Data!N776, CPI!$A$2:$B$112, 2, 0)</f>
        <v>240.00700000000001</v>
      </c>
      <c r="P1057" s="32" t="s">
        <v>56</v>
      </c>
      <c r="Q1057" s="32" t="s">
        <v>239</v>
      </c>
      <c r="R1057" s="32" t="s">
        <v>2595</v>
      </c>
      <c r="S1057" s="32">
        <v>425</v>
      </c>
      <c r="T1057" s="32" t="s">
        <v>362</v>
      </c>
      <c r="U1057" s="32">
        <f>S1057/AB1057</f>
        <v>5.743243243243243</v>
      </c>
      <c r="V1057" s="32" t="s">
        <v>316</v>
      </c>
      <c r="X1057" s="32">
        <f t="shared" si="64"/>
        <v>5.743243243243243</v>
      </c>
      <c r="Y1057" s="32">
        <f>(CPI!$B$112/O1057)*X1057</f>
        <v>7.2907568771361282</v>
      </c>
      <c r="Z1057" s="38" t="s">
        <v>262</v>
      </c>
      <c r="AA1057" s="35" t="s">
        <v>1447</v>
      </c>
      <c r="AB1057" s="32">
        <v>74</v>
      </c>
      <c r="AC1057" s="32" t="s">
        <v>1447</v>
      </c>
      <c r="AI1057" s="32" t="s">
        <v>1664</v>
      </c>
      <c r="AJ1057" s="35" t="s">
        <v>2596</v>
      </c>
      <c r="AK1057" s="40" t="s">
        <v>1665</v>
      </c>
      <c r="AL1057" s="32">
        <v>2014</v>
      </c>
      <c r="AM1057" s="32" t="s">
        <v>1666</v>
      </c>
      <c r="AN1057" s="32" t="s">
        <v>1667</v>
      </c>
      <c r="AO1057" s="38" t="s">
        <v>1668</v>
      </c>
      <c r="AP1057" s="35" t="s">
        <v>396</v>
      </c>
    </row>
    <row r="1058" spans="1:42" x14ac:dyDescent="0.2">
      <c r="A1058" s="40">
        <v>112</v>
      </c>
      <c r="B1058" s="40">
        <v>1057</v>
      </c>
      <c r="C1058" s="40" t="s">
        <v>119</v>
      </c>
      <c r="D1058" s="38" t="s">
        <v>128</v>
      </c>
      <c r="E1058" s="32" t="s">
        <v>2186</v>
      </c>
      <c r="F1058" s="32" t="s">
        <v>29</v>
      </c>
      <c r="G1058" s="38" t="s">
        <v>29</v>
      </c>
      <c r="H1058" s="32" t="s">
        <v>242</v>
      </c>
      <c r="I1058" s="32" t="s">
        <v>120</v>
      </c>
      <c r="J1058" s="32" t="s">
        <v>1319</v>
      </c>
      <c r="K1058" s="32" t="s">
        <v>1513</v>
      </c>
      <c r="L1058" s="32" t="s">
        <v>30</v>
      </c>
      <c r="M1058" s="32" t="s">
        <v>30</v>
      </c>
      <c r="N1058" s="40">
        <v>2011</v>
      </c>
      <c r="O1058" s="32">
        <f>VLOOKUP(Data!N777, CPI!$A$2:$B$112, 2, 0)</f>
        <v>240.00700000000001</v>
      </c>
      <c r="P1058" s="32" t="s">
        <v>56</v>
      </c>
      <c r="Q1058" s="32" t="s">
        <v>239</v>
      </c>
      <c r="R1058" s="32" t="s">
        <v>2595</v>
      </c>
      <c r="S1058" s="32">
        <v>7</v>
      </c>
      <c r="T1058" s="32" t="s">
        <v>362</v>
      </c>
      <c r="U1058" s="32">
        <f>S1058/AB1058</f>
        <v>0.16279069767441862</v>
      </c>
      <c r="V1058" s="32" t="s">
        <v>316</v>
      </c>
      <c r="X1058" s="32">
        <f t="shared" si="64"/>
        <v>0.16279069767441862</v>
      </c>
      <c r="Y1058" s="32">
        <f>(CPI!$B$112/O1058)*X1058</f>
        <v>0.20665455881567796</v>
      </c>
      <c r="Z1058" s="38" t="s">
        <v>262</v>
      </c>
      <c r="AA1058" s="35" t="s">
        <v>1447</v>
      </c>
      <c r="AB1058" s="32">
        <v>43</v>
      </c>
      <c r="AI1058" s="32" t="s">
        <v>1664</v>
      </c>
      <c r="AJ1058" s="35" t="s">
        <v>2596</v>
      </c>
      <c r="AK1058" s="40" t="s">
        <v>1665</v>
      </c>
      <c r="AL1058" s="32">
        <v>2014</v>
      </c>
      <c r="AM1058" s="32" t="s">
        <v>1666</v>
      </c>
      <c r="AN1058" s="32" t="s">
        <v>1667</v>
      </c>
      <c r="AO1058" s="38" t="s">
        <v>1668</v>
      </c>
      <c r="AP1058" s="35" t="s">
        <v>396</v>
      </c>
    </row>
    <row r="1059" spans="1:42" x14ac:dyDescent="0.2">
      <c r="A1059" s="40">
        <v>112</v>
      </c>
      <c r="B1059" s="40">
        <v>1058</v>
      </c>
      <c r="C1059" s="40" t="s">
        <v>119</v>
      </c>
      <c r="D1059" s="38" t="s">
        <v>128</v>
      </c>
      <c r="E1059" s="32" t="s">
        <v>2186</v>
      </c>
      <c r="F1059" s="32" t="s">
        <v>29</v>
      </c>
      <c r="G1059" s="38" t="s">
        <v>29</v>
      </c>
      <c r="H1059" s="32" t="s">
        <v>242</v>
      </c>
      <c r="I1059" s="32" t="s">
        <v>137</v>
      </c>
      <c r="J1059" s="32" t="s">
        <v>1513</v>
      </c>
      <c r="K1059" s="32" t="s">
        <v>1513</v>
      </c>
      <c r="L1059" s="32" t="s">
        <v>30</v>
      </c>
      <c r="M1059" s="32" t="s">
        <v>30</v>
      </c>
      <c r="N1059" s="40">
        <v>2012</v>
      </c>
      <c r="O1059" s="32">
        <f>VLOOKUP(Data!N778, CPI!$A$2:$B$112, 2, 0)</f>
        <v>240.00700000000001</v>
      </c>
      <c r="P1059" s="32" t="s">
        <v>56</v>
      </c>
      <c r="Q1059" s="32" t="s">
        <v>239</v>
      </c>
      <c r="R1059" s="32" t="s">
        <v>1677</v>
      </c>
      <c r="S1059" s="32">
        <v>20</v>
      </c>
      <c r="T1059" s="32" t="s">
        <v>316</v>
      </c>
      <c r="U1059" s="32">
        <v>20</v>
      </c>
      <c r="V1059" s="32" t="s">
        <v>316</v>
      </c>
      <c r="X1059" s="32">
        <f t="shared" si="64"/>
        <v>20</v>
      </c>
      <c r="Y1059" s="32">
        <f>(CPI!$B$112/O1059)*X1059</f>
        <v>25.388988654497577</v>
      </c>
      <c r="Z1059" s="38" t="s">
        <v>262</v>
      </c>
      <c r="AA1059" s="35" t="s">
        <v>1425</v>
      </c>
      <c r="AB1059" s="32">
        <v>4000000</v>
      </c>
      <c r="AC1059" s="32" t="s">
        <v>1425</v>
      </c>
      <c r="AK1059" s="40" t="s">
        <v>1665</v>
      </c>
      <c r="AL1059" s="32">
        <v>2014</v>
      </c>
      <c r="AM1059" s="32" t="s">
        <v>1666</v>
      </c>
      <c r="AN1059" s="32" t="s">
        <v>1667</v>
      </c>
      <c r="AO1059" s="38" t="s">
        <v>1668</v>
      </c>
      <c r="AP1059" s="35" t="s">
        <v>396</v>
      </c>
    </row>
    <row r="1060" spans="1:42" x14ac:dyDescent="0.2">
      <c r="A1060" s="40">
        <v>112</v>
      </c>
      <c r="B1060" s="40">
        <v>1059</v>
      </c>
      <c r="C1060" s="40" t="s">
        <v>119</v>
      </c>
      <c r="D1060" s="38" t="s">
        <v>128</v>
      </c>
      <c r="E1060" s="32" t="s">
        <v>2186</v>
      </c>
      <c r="F1060" s="32" t="s">
        <v>29</v>
      </c>
      <c r="G1060" s="38" t="s">
        <v>29</v>
      </c>
      <c r="H1060" s="32" t="s">
        <v>242</v>
      </c>
      <c r="I1060" s="32" t="s">
        <v>120</v>
      </c>
      <c r="J1060" s="32" t="s">
        <v>1661</v>
      </c>
      <c r="K1060" s="32" t="s">
        <v>1513</v>
      </c>
      <c r="L1060" s="32" t="s">
        <v>30</v>
      </c>
      <c r="M1060" s="32" t="s">
        <v>30</v>
      </c>
      <c r="N1060" s="40">
        <v>2011</v>
      </c>
      <c r="O1060" s="32">
        <f>VLOOKUP(Data!N779, CPI!$A$2:$B$112, 2, 0)</f>
        <v>240.00700000000001</v>
      </c>
      <c r="P1060" s="32" t="s">
        <v>56</v>
      </c>
      <c r="Q1060" s="32" t="s">
        <v>239</v>
      </c>
      <c r="R1060" s="32" t="s">
        <v>1662</v>
      </c>
      <c r="S1060" s="32">
        <f>4600000+519000+28</f>
        <v>5119028</v>
      </c>
      <c r="T1060" s="32" t="s">
        <v>300</v>
      </c>
      <c r="U1060" s="32">
        <f>S1060/AB1060</f>
        <v>9.905239938080495</v>
      </c>
      <c r="V1060" s="32" t="s">
        <v>316</v>
      </c>
      <c r="X1060" s="32">
        <f t="shared" si="64"/>
        <v>9.905239938080495</v>
      </c>
      <c r="Y1060" s="32">
        <f>(CPI!$B$112/O1060)*X1060</f>
        <v>12.574201220400099</v>
      </c>
      <c r="Z1060" s="38" t="s">
        <v>262</v>
      </c>
      <c r="AA1060" s="35" t="s">
        <v>1445</v>
      </c>
      <c r="AB1060" s="32">
        <v>516800</v>
      </c>
      <c r="AC1060" s="32" t="s">
        <v>1425</v>
      </c>
      <c r="AJ1060" s="36" t="s">
        <v>2594</v>
      </c>
      <c r="AK1060" s="40" t="s">
        <v>1665</v>
      </c>
      <c r="AL1060" s="32">
        <v>2014</v>
      </c>
      <c r="AM1060" s="32" t="s">
        <v>1666</v>
      </c>
      <c r="AN1060" s="32" t="s">
        <v>1667</v>
      </c>
      <c r="AO1060" s="38" t="s">
        <v>1668</v>
      </c>
      <c r="AP1060" s="35" t="s">
        <v>396</v>
      </c>
    </row>
    <row r="1061" spans="1:42" x14ac:dyDescent="0.2">
      <c r="A1061" s="40">
        <v>112</v>
      </c>
      <c r="B1061" s="40">
        <v>1060</v>
      </c>
      <c r="C1061" s="40" t="s">
        <v>119</v>
      </c>
      <c r="D1061" s="38" t="s">
        <v>128</v>
      </c>
      <c r="E1061" s="32" t="s">
        <v>2186</v>
      </c>
      <c r="F1061" s="32" t="s">
        <v>29</v>
      </c>
      <c r="G1061" s="38" t="s">
        <v>29</v>
      </c>
      <c r="H1061" s="32" t="s">
        <v>242</v>
      </c>
      <c r="I1061" s="32" t="s">
        <v>120</v>
      </c>
      <c r="J1061" s="32" t="s">
        <v>1319</v>
      </c>
      <c r="K1061" s="32" t="s">
        <v>1513</v>
      </c>
      <c r="L1061" s="32" t="s">
        <v>30</v>
      </c>
      <c r="M1061" s="32" t="s">
        <v>30</v>
      </c>
      <c r="N1061" s="40">
        <v>2011</v>
      </c>
      <c r="O1061" s="32">
        <f>VLOOKUP(Data!N780, CPI!$A$2:$B$112, 2, 0)</f>
        <v>240.00700000000001</v>
      </c>
      <c r="P1061" s="32" t="s">
        <v>56</v>
      </c>
      <c r="Q1061" s="32" t="s">
        <v>239</v>
      </c>
      <c r="R1061" s="32" t="s">
        <v>1663</v>
      </c>
      <c r="S1061" s="32">
        <f>2900000+1600</f>
        <v>2901600</v>
      </c>
      <c r="T1061" s="32" t="s">
        <v>300</v>
      </c>
      <c r="U1061" s="32">
        <f>S1061/AB1061</f>
        <v>7.3088161209068012</v>
      </c>
      <c r="V1061" s="32" t="s">
        <v>316</v>
      </c>
      <c r="X1061" s="32">
        <f t="shared" si="64"/>
        <v>7.3088161209068012</v>
      </c>
      <c r="Y1061" s="32">
        <f>(CPI!$B$112/O1061)*X1061</f>
        <v>9.2781724785755877</v>
      </c>
      <c r="Z1061" s="38" t="s">
        <v>262</v>
      </c>
      <c r="AA1061" s="35" t="s">
        <v>1445</v>
      </c>
      <c r="AB1061" s="32">
        <v>397000</v>
      </c>
      <c r="AC1061" s="32" t="s">
        <v>1447</v>
      </c>
      <c r="AJ1061" s="36" t="s">
        <v>2594</v>
      </c>
      <c r="AK1061" s="40" t="s">
        <v>1665</v>
      </c>
      <c r="AL1061" s="32">
        <v>2014</v>
      </c>
      <c r="AM1061" s="32" t="s">
        <v>1666</v>
      </c>
      <c r="AN1061" s="32" t="s">
        <v>1667</v>
      </c>
      <c r="AO1061" s="38" t="s">
        <v>1668</v>
      </c>
      <c r="AP1061" s="35" t="s">
        <v>396</v>
      </c>
    </row>
    <row r="1062" spans="1:42" x14ac:dyDescent="0.2">
      <c r="A1062" s="40">
        <v>113</v>
      </c>
      <c r="B1062" s="40">
        <v>1061</v>
      </c>
      <c r="C1062" s="40" t="s">
        <v>114</v>
      </c>
      <c r="D1062" s="38" t="s">
        <v>218</v>
      </c>
      <c r="E1062" s="32" t="s">
        <v>2186</v>
      </c>
      <c r="F1062" s="32" t="s">
        <v>29</v>
      </c>
      <c r="G1062" s="38" t="s">
        <v>29</v>
      </c>
      <c r="H1062" s="32" t="s">
        <v>242</v>
      </c>
      <c r="I1062" s="32" t="s">
        <v>137</v>
      </c>
      <c r="J1062" s="32" t="s">
        <v>1513</v>
      </c>
      <c r="K1062" s="32" t="s">
        <v>1513</v>
      </c>
      <c r="L1062" s="32" t="s">
        <v>30</v>
      </c>
      <c r="M1062" s="32" t="s">
        <v>30</v>
      </c>
      <c r="N1062" s="40">
        <v>2016</v>
      </c>
      <c r="O1062" s="32">
        <f>VLOOKUP(Data!N781, CPI!$A$2:$B$112, 2, 0)</f>
        <v>240.00700000000001</v>
      </c>
      <c r="P1062" s="32" t="s">
        <v>56</v>
      </c>
      <c r="Q1062" s="32" t="s">
        <v>239</v>
      </c>
      <c r="R1062" s="32" t="s">
        <v>2597</v>
      </c>
      <c r="S1062" s="32">
        <v>9</v>
      </c>
      <c r="T1062" s="32" t="s">
        <v>316</v>
      </c>
      <c r="U1062" s="32">
        <v>9</v>
      </c>
      <c r="V1062" s="32" t="s">
        <v>316</v>
      </c>
      <c r="X1062" s="32">
        <f t="shared" si="64"/>
        <v>9</v>
      </c>
      <c r="Y1062" s="32">
        <f>(CPI!$B$112/O1062)*X1062</f>
        <v>11.425044894523911</v>
      </c>
      <c r="Z1062" s="38" t="s">
        <v>262</v>
      </c>
      <c r="AA1062" s="35" t="s">
        <v>1678</v>
      </c>
      <c r="AB1062" s="32" t="s">
        <v>30</v>
      </c>
      <c r="AH1062" s="32" t="s">
        <v>411</v>
      </c>
      <c r="AK1062" s="40" t="s">
        <v>1683</v>
      </c>
      <c r="AL1062" s="32">
        <v>2020</v>
      </c>
      <c r="AM1062" s="32" t="s">
        <v>1684</v>
      </c>
      <c r="AN1062" s="32" t="s">
        <v>1685</v>
      </c>
      <c r="AO1062" s="38" t="s">
        <v>1686</v>
      </c>
      <c r="AP1062" s="35" t="s">
        <v>396</v>
      </c>
    </row>
    <row r="1063" spans="1:42" x14ac:dyDescent="0.2">
      <c r="A1063" s="40">
        <v>113</v>
      </c>
      <c r="B1063" s="40">
        <v>1062</v>
      </c>
      <c r="C1063" s="40" t="s">
        <v>114</v>
      </c>
      <c r="D1063" s="38" t="s">
        <v>218</v>
      </c>
      <c r="E1063" s="32" t="s">
        <v>2186</v>
      </c>
      <c r="F1063" s="32" t="s">
        <v>29</v>
      </c>
      <c r="G1063" s="38" t="s">
        <v>29</v>
      </c>
      <c r="H1063" s="32" t="s">
        <v>242</v>
      </c>
      <c r="I1063" s="32" t="s">
        <v>243</v>
      </c>
      <c r="J1063" s="32" t="s">
        <v>1676</v>
      </c>
      <c r="K1063" s="32" t="s">
        <v>1513</v>
      </c>
      <c r="L1063" s="32" t="s">
        <v>30</v>
      </c>
      <c r="M1063" s="32" t="s">
        <v>30</v>
      </c>
      <c r="N1063" s="40">
        <v>2013</v>
      </c>
      <c r="O1063" s="32">
        <f>VLOOKUP(Data!N1119, CPI!$A$2:$B$112, 2, 0)</f>
        <v>304.67675000000003</v>
      </c>
      <c r="P1063" s="32" t="s">
        <v>56</v>
      </c>
      <c r="Q1063" s="32" t="s">
        <v>239</v>
      </c>
      <c r="R1063" s="32" t="s">
        <v>1675</v>
      </c>
      <c r="S1063" s="32">
        <v>733000</v>
      </c>
      <c r="T1063" s="32" t="s">
        <v>1487</v>
      </c>
      <c r="U1063" s="32">
        <v>733000</v>
      </c>
      <c r="V1063" s="32" t="s">
        <v>1487</v>
      </c>
      <c r="W1063" s="32">
        <f>VLOOKUP(N1063, 'Exchange rate- Vietnam'!$A$2:$B$65, 2, 0)</f>
        <v>20933.416666666701</v>
      </c>
      <c r="X1063" s="32">
        <f>U1063/W1063</f>
        <v>35.015784172833648</v>
      </c>
      <c r="Y1063" s="32">
        <f>(CPI!$B$112/O1063)*X1063</f>
        <v>35.015784172833648</v>
      </c>
      <c r="Z1063" s="38" t="s">
        <v>1609</v>
      </c>
      <c r="AA1063" s="35" t="s">
        <v>1674</v>
      </c>
      <c r="AB1063" s="32" t="s">
        <v>30</v>
      </c>
      <c r="AH1063" s="32" t="s">
        <v>411</v>
      </c>
      <c r="AK1063" s="40" t="s">
        <v>1683</v>
      </c>
      <c r="AL1063" s="32">
        <v>2020</v>
      </c>
      <c r="AM1063" s="32" t="s">
        <v>1684</v>
      </c>
      <c r="AN1063" s="32" t="s">
        <v>1685</v>
      </c>
      <c r="AO1063" s="38" t="s">
        <v>1686</v>
      </c>
      <c r="AP1063" s="35" t="s">
        <v>396</v>
      </c>
    </row>
    <row r="1064" spans="1:42" x14ac:dyDescent="0.2">
      <c r="A1064" s="40">
        <v>113</v>
      </c>
      <c r="B1064" s="40">
        <v>1063</v>
      </c>
      <c r="C1064" s="40" t="s">
        <v>114</v>
      </c>
      <c r="D1064" s="38" t="s">
        <v>218</v>
      </c>
      <c r="E1064" s="32" t="s">
        <v>2183</v>
      </c>
      <c r="F1064" s="32" t="s">
        <v>244</v>
      </c>
      <c r="G1064" s="38" t="s">
        <v>1102</v>
      </c>
      <c r="H1064" s="32" t="s">
        <v>242</v>
      </c>
      <c r="I1064" s="32" t="s">
        <v>137</v>
      </c>
      <c r="J1064" s="32" t="s">
        <v>1513</v>
      </c>
      <c r="K1064" s="32" t="s">
        <v>1513</v>
      </c>
      <c r="L1064" s="32" t="s">
        <v>30</v>
      </c>
      <c r="M1064" s="32" t="s">
        <v>30</v>
      </c>
      <c r="N1064" s="40">
        <v>2017</v>
      </c>
      <c r="O1064" s="32">
        <f>VLOOKUP(Data!N1528, CPI!$A$2:$B$112, 2, 0)</f>
        <v>245.12</v>
      </c>
      <c r="P1064" s="32" t="s">
        <v>56</v>
      </c>
      <c r="Q1064" s="32" t="s">
        <v>239</v>
      </c>
      <c r="R1064" s="32" t="s">
        <v>1669</v>
      </c>
      <c r="S1064" s="32">
        <v>1.6000000000000001E-3</v>
      </c>
      <c r="T1064" s="32" t="s">
        <v>1670</v>
      </c>
      <c r="Z1064" s="38" t="s">
        <v>262</v>
      </c>
      <c r="AA1064" s="35" t="s">
        <v>1425</v>
      </c>
      <c r="AB1064" s="32" t="s">
        <v>30</v>
      </c>
      <c r="AH1064" s="32" t="s">
        <v>397</v>
      </c>
      <c r="AI1064" s="32" t="s">
        <v>2268</v>
      </c>
      <c r="AK1064" s="40" t="s">
        <v>1683</v>
      </c>
      <c r="AL1064" s="32">
        <v>2020</v>
      </c>
      <c r="AM1064" s="32" t="s">
        <v>1684</v>
      </c>
      <c r="AN1064" s="32" t="s">
        <v>1685</v>
      </c>
      <c r="AO1064" s="38" t="s">
        <v>1686</v>
      </c>
      <c r="AP1064" s="35" t="s">
        <v>396</v>
      </c>
    </row>
    <row r="1065" spans="1:42" x14ac:dyDescent="0.2">
      <c r="A1065" s="40">
        <v>113</v>
      </c>
      <c r="B1065" s="40">
        <v>1064</v>
      </c>
      <c r="C1065" s="40" t="s">
        <v>114</v>
      </c>
      <c r="D1065" s="38" t="s">
        <v>218</v>
      </c>
      <c r="E1065" s="32" t="s">
        <v>2183</v>
      </c>
      <c r="F1065" s="32" t="s">
        <v>244</v>
      </c>
      <c r="G1065" s="38" t="s">
        <v>2908</v>
      </c>
      <c r="H1065" s="32" t="s">
        <v>242</v>
      </c>
      <c r="I1065" s="32" t="s">
        <v>120</v>
      </c>
      <c r="J1065" s="32" t="s">
        <v>1672</v>
      </c>
      <c r="K1065" s="32" t="s">
        <v>1513</v>
      </c>
      <c r="L1065" s="32" t="s">
        <v>30</v>
      </c>
      <c r="M1065" s="32" t="s">
        <v>30</v>
      </c>
      <c r="N1065" s="40">
        <v>2017</v>
      </c>
      <c r="O1065" s="32">
        <f>VLOOKUP(Data!N1529, CPI!$A$2:$B$112, 2, 0)</f>
        <v>218.05600000000001</v>
      </c>
      <c r="P1065" s="32" t="s">
        <v>56</v>
      </c>
      <c r="Q1065" s="32" t="s">
        <v>239</v>
      </c>
      <c r="R1065" s="32" t="s">
        <v>1671</v>
      </c>
      <c r="S1065" s="32">
        <v>0.85</v>
      </c>
      <c r="T1065" s="32" t="s">
        <v>790</v>
      </c>
      <c r="Z1065" s="38" t="s">
        <v>262</v>
      </c>
      <c r="AA1065" s="35" t="s">
        <v>1425</v>
      </c>
      <c r="AB1065" s="32" t="s">
        <v>30</v>
      </c>
      <c r="AH1065" s="32" t="s">
        <v>397</v>
      </c>
      <c r="AI1065" s="32" t="s">
        <v>2268</v>
      </c>
      <c r="AK1065" s="40" t="s">
        <v>1683</v>
      </c>
      <c r="AL1065" s="32">
        <v>2020</v>
      </c>
      <c r="AM1065" s="32" t="s">
        <v>1684</v>
      </c>
      <c r="AN1065" s="32" t="s">
        <v>1685</v>
      </c>
      <c r="AO1065" s="38" t="s">
        <v>1686</v>
      </c>
      <c r="AP1065" s="35" t="s">
        <v>396</v>
      </c>
    </row>
    <row r="1066" spans="1:42" x14ac:dyDescent="0.2">
      <c r="A1066" s="40">
        <v>113</v>
      </c>
      <c r="B1066" s="40">
        <v>1065</v>
      </c>
      <c r="C1066" s="40" t="s">
        <v>114</v>
      </c>
      <c r="D1066" s="38" t="s">
        <v>218</v>
      </c>
      <c r="E1066" s="32" t="s">
        <v>2183</v>
      </c>
      <c r="F1066" s="32" t="s">
        <v>244</v>
      </c>
      <c r="G1066" s="38" t="s">
        <v>15</v>
      </c>
      <c r="H1066" s="32" t="s">
        <v>242</v>
      </c>
      <c r="I1066" s="32" t="s">
        <v>120</v>
      </c>
      <c r="J1066" s="32" t="s">
        <v>1673</v>
      </c>
      <c r="K1066" s="32" t="s">
        <v>1513</v>
      </c>
      <c r="L1066" s="32" t="s">
        <v>30</v>
      </c>
      <c r="M1066" s="32" t="s">
        <v>30</v>
      </c>
      <c r="N1066" s="40">
        <v>2018</v>
      </c>
      <c r="O1066" s="32">
        <f>VLOOKUP(Data!N1530, CPI!$A$2:$B$112, 2, 0)</f>
        <v>251.107</v>
      </c>
      <c r="P1066" s="32" t="s">
        <v>56</v>
      </c>
      <c r="Q1066" s="32" t="s">
        <v>239</v>
      </c>
      <c r="R1066" s="32" t="s">
        <v>2961</v>
      </c>
      <c r="S1066" s="32">
        <v>2E-3</v>
      </c>
      <c r="T1066" s="32" t="s">
        <v>790</v>
      </c>
      <c r="Z1066" s="38" t="s">
        <v>262</v>
      </c>
      <c r="AA1066" s="35" t="s">
        <v>1425</v>
      </c>
      <c r="AB1066" s="32" t="s">
        <v>30</v>
      </c>
      <c r="AH1066" s="32" t="s">
        <v>397</v>
      </c>
      <c r="AI1066" s="32" t="s">
        <v>2268</v>
      </c>
      <c r="AK1066" s="40" t="s">
        <v>1683</v>
      </c>
      <c r="AL1066" s="32">
        <v>2020</v>
      </c>
      <c r="AM1066" s="32" t="s">
        <v>1684</v>
      </c>
      <c r="AN1066" s="32" t="s">
        <v>1685</v>
      </c>
      <c r="AO1066" s="38" t="s">
        <v>1686</v>
      </c>
      <c r="AP1066" s="35" t="s">
        <v>396</v>
      </c>
    </row>
    <row r="1067" spans="1:42" x14ac:dyDescent="0.2">
      <c r="A1067" s="40">
        <v>113</v>
      </c>
      <c r="B1067" s="40">
        <v>1066</v>
      </c>
      <c r="C1067" s="40" t="s">
        <v>119</v>
      </c>
      <c r="D1067" s="38" t="s">
        <v>128</v>
      </c>
      <c r="E1067" s="32" t="s">
        <v>2186</v>
      </c>
      <c r="F1067" s="32" t="s">
        <v>29</v>
      </c>
      <c r="G1067" s="38" t="s">
        <v>29</v>
      </c>
      <c r="H1067" s="32" t="s">
        <v>242</v>
      </c>
      <c r="I1067" s="32" t="s">
        <v>243</v>
      </c>
      <c r="J1067" s="32" t="s">
        <v>1679</v>
      </c>
      <c r="K1067" s="32" t="s">
        <v>1513</v>
      </c>
      <c r="L1067" s="32" t="s">
        <v>30</v>
      </c>
      <c r="M1067" s="32" t="s">
        <v>30</v>
      </c>
      <c r="N1067" s="40">
        <v>2013</v>
      </c>
      <c r="O1067" s="32">
        <f>VLOOKUP(Data!N1531, CPI!$A$2:$B$112, 2, 0)</f>
        <v>251.107</v>
      </c>
      <c r="P1067" s="32" t="s">
        <v>56</v>
      </c>
      <c r="Q1067" s="32" t="s">
        <v>239</v>
      </c>
      <c r="R1067" s="32" t="s">
        <v>1680</v>
      </c>
      <c r="S1067" s="32">
        <v>128</v>
      </c>
      <c r="T1067" s="32" t="s">
        <v>1681</v>
      </c>
      <c r="Z1067" s="38" t="s">
        <v>262</v>
      </c>
      <c r="AA1067" s="35" t="s">
        <v>1682</v>
      </c>
      <c r="AB1067" s="32" t="s">
        <v>30</v>
      </c>
      <c r="AH1067" s="32" t="s">
        <v>397</v>
      </c>
      <c r="AI1067" s="32" t="s">
        <v>2268</v>
      </c>
      <c r="AK1067" s="40" t="s">
        <v>1683</v>
      </c>
      <c r="AL1067" s="32">
        <v>2020</v>
      </c>
      <c r="AM1067" s="32" t="s">
        <v>1684</v>
      </c>
      <c r="AN1067" s="32" t="s">
        <v>1685</v>
      </c>
      <c r="AO1067" s="38" t="s">
        <v>1686</v>
      </c>
      <c r="AP1067" s="35" t="s">
        <v>396</v>
      </c>
    </row>
    <row r="1068" spans="1:42" x14ac:dyDescent="0.2">
      <c r="A1068" s="40">
        <v>114</v>
      </c>
      <c r="B1068" s="40">
        <v>1067</v>
      </c>
      <c r="C1068" s="40" t="s">
        <v>119</v>
      </c>
      <c r="D1068" s="38" t="s">
        <v>128</v>
      </c>
      <c r="E1068" s="32" t="s">
        <v>2183</v>
      </c>
      <c r="F1068" s="32" t="s">
        <v>126</v>
      </c>
      <c r="G1068" s="38" t="s">
        <v>153</v>
      </c>
      <c r="H1068" s="32" t="s">
        <v>242</v>
      </c>
      <c r="I1068" s="32" t="s">
        <v>243</v>
      </c>
      <c r="J1068" s="32" t="s">
        <v>1699</v>
      </c>
      <c r="K1068" s="32" t="s">
        <v>1513</v>
      </c>
      <c r="L1068" s="32" t="s">
        <v>30</v>
      </c>
      <c r="M1068" s="32" t="s">
        <v>30</v>
      </c>
      <c r="N1068" s="40">
        <v>2001</v>
      </c>
      <c r="O1068" s="32">
        <f>VLOOKUP(Data!N1120, CPI!$A$2:$B$112, 2, 0)</f>
        <v>304.67675000000003</v>
      </c>
      <c r="P1068" s="32" t="s">
        <v>238</v>
      </c>
      <c r="Q1068" s="32" t="s">
        <v>239</v>
      </c>
      <c r="R1068" s="32" t="s">
        <v>1688</v>
      </c>
      <c r="S1068" s="32">
        <v>409417</v>
      </c>
      <c r="T1068" s="32" t="s">
        <v>1698</v>
      </c>
      <c r="U1068" s="32">
        <f t="shared" ref="U1068:U1077" si="65">(S1068*AE1068)/AB1068</f>
        <v>6082.7668571428576</v>
      </c>
      <c r="V1068" s="32" t="s">
        <v>1487</v>
      </c>
      <c r="W1068" s="32">
        <f>VLOOKUP(N1068, 'Exchange rate- Vietnam'!$A$2:$B$65, 2, 0)</f>
        <v>14725.166666666701</v>
      </c>
      <c r="X1068" s="32">
        <f t="shared" ref="X1068:X1077" si="66">U1068/W1068</f>
        <v>0.41308645225132778</v>
      </c>
      <c r="Y1068" s="32">
        <f>(CPI!$B$112/O1068)*X1068</f>
        <v>0.41308645225132778</v>
      </c>
      <c r="Z1068" s="38" t="s">
        <v>1609</v>
      </c>
      <c r="AA1068" s="35" t="s">
        <v>1425</v>
      </c>
      <c r="AB1068" s="32">
        <v>35000</v>
      </c>
      <c r="AC1068" s="32" t="s">
        <v>2598</v>
      </c>
      <c r="AE1068" s="32">
        <f t="shared" ref="AE1068:AE1077" si="67">104*5</f>
        <v>520</v>
      </c>
      <c r="AF1068" s="32" t="s">
        <v>2599</v>
      </c>
      <c r="AH1068" s="32" t="s">
        <v>411</v>
      </c>
      <c r="AJ1068" s="35" t="s">
        <v>2328</v>
      </c>
      <c r="AK1068" s="40" t="s">
        <v>1700</v>
      </c>
      <c r="AL1068" s="32">
        <v>2008</v>
      </c>
      <c r="AM1068" s="32" t="s">
        <v>1701</v>
      </c>
      <c r="AN1068" s="32" t="s">
        <v>1702</v>
      </c>
      <c r="AO1068" s="38" t="s">
        <v>1703</v>
      </c>
      <c r="AP1068" s="35" t="s">
        <v>396</v>
      </c>
    </row>
    <row r="1069" spans="1:42" x14ac:dyDescent="0.2">
      <c r="A1069" s="40">
        <v>114</v>
      </c>
      <c r="B1069" s="40">
        <v>1068</v>
      </c>
      <c r="C1069" s="40" t="s">
        <v>119</v>
      </c>
      <c r="D1069" s="38" t="s">
        <v>128</v>
      </c>
      <c r="E1069" s="32" t="s">
        <v>2183</v>
      </c>
      <c r="F1069" s="32" t="s">
        <v>126</v>
      </c>
      <c r="G1069" s="38" t="s">
        <v>127</v>
      </c>
      <c r="H1069" s="32" t="s">
        <v>242</v>
      </c>
      <c r="I1069" s="32" t="s">
        <v>243</v>
      </c>
      <c r="J1069" s="32" t="s">
        <v>1699</v>
      </c>
      <c r="K1069" s="32" t="s">
        <v>1513</v>
      </c>
      <c r="L1069" s="32" t="s">
        <v>30</v>
      </c>
      <c r="M1069" s="32" t="s">
        <v>30</v>
      </c>
      <c r="N1069" s="40">
        <v>2001</v>
      </c>
      <c r="O1069" s="32">
        <f>VLOOKUP(Data!N1121, CPI!$A$2:$B$112, 2, 0)</f>
        <v>304.67675000000003</v>
      </c>
      <c r="P1069" s="32" t="s">
        <v>238</v>
      </c>
      <c r="Q1069" s="32" t="s">
        <v>239</v>
      </c>
      <c r="R1069" s="32" t="s">
        <v>1689</v>
      </c>
      <c r="S1069" s="32">
        <v>365681</v>
      </c>
      <c r="T1069" s="32" t="s">
        <v>1698</v>
      </c>
      <c r="U1069" s="32">
        <f t="shared" si="65"/>
        <v>5432.9748571428572</v>
      </c>
      <c r="V1069" s="32" t="s">
        <v>1487</v>
      </c>
      <c r="W1069" s="32">
        <f>VLOOKUP(N1069, 'Exchange rate- Vietnam'!$A$2:$B$65, 2, 0)</f>
        <v>14725.166666666701</v>
      </c>
      <c r="X1069" s="32">
        <f t="shared" si="66"/>
        <v>0.36895846275488753</v>
      </c>
      <c r="Y1069" s="32">
        <f>(CPI!$B$112/O1069)*X1069</f>
        <v>0.36895846275488753</v>
      </c>
      <c r="Z1069" s="38" t="s">
        <v>1609</v>
      </c>
      <c r="AA1069" s="35" t="s">
        <v>1425</v>
      </c>
      <c r="AB1069" s="32">
        <v>35000</v>
      </c>
      <c r="AC1069" s="32" t="s">
        <v>2598</v>
      </c>
      <c r="AE1069" s="32">
        <f t="shared" si="67"/>
        <v>520</v>
      </c>
      <c r="AF1069" s="32" t="s">
        <v>2599</v>
      </c>
      <c r="AH1069" s="32" t="s">
        <v>411</v>
      </c>
      <c r="AJ1069" s="35" t="s">
        <v>2328</v>
      </c>
      <c r="AK1069" s="40" t="s">
        <v>1700</v>
      </c>
      <c r="AL1069" s="32">
        <v>2008</v>
      </c>
      <c r="AM1069" s="32" t="s">
        <v>1701</v>
      </c>
      <c r="AN1069" s="32" t="s">
        <v>1702</v>
      </c>
      <c r="AO1069" s="38" t="s">
        <v>1703</v>
      </c>
      <c r="AP1069" s="35" t="s">
        <v>396</v>
      </c>
    </row>
    <row r="1070" spans="1:42" x14ac:dyDescent="0.2">
      <c r="A1070" s="40">
        <v>114</v>
      </c>
      <c r="B1070" s="40">
        <v>1069</v>
      </c>
      <c r="C1070" s="40" t="s">
        <v>119</v>
      </c>
      <c r="D1070" s="38" t="s">
        <v>128</v>
      </c>
      <c r="E1070" s="32" t="s">
        <v>2183</v>
      </c>
      <c r="F1070" s="32" t="s">
        <v>237</v>
      </c>
      <c r="G1070" s="38" t="s">
        <v>117</v>
      </c>
      <c r="H1070" s="32" t="s">
        <v>242</v>
      </c>
      <c r="I1070" s="32" t="s">
        <v>243</v>
      </c>
      <c r="J1070" s="32" t="s">
        <v>1699</v>
      </c>
      <c r="K1070" s="32" t="s">
        <v>1513</v>
      </c>
      <c r="L1070" s="32" t="s">
        <v>30</v>
      </c>
      <c r="M1070" s="32" t="s">
        <v>30</v>
      </c>
      <c r="N1070" s="40">
        <v>2001</v>
      </c>
      <c r="O1070" s="32">
        <f>VLOOKUP(Data!N1122, CPI!$A$2:$B$112, 2, 0)</f>
        <v>304.67675000000003</v>
      </c>
      <c r="P1070" s="32" t="s">
        <v>238</v>
      </c>
      <c r="Q1070" s="32" t="s">
        <v>239</v>
      </c>
      <c r="R1070" s="32" t="s">
        <v>1690</v>
      </c>
      <c r="S1070" s="32">
        <v>178438</v>
      </c>
      <c r="T1070" s="32" t="s">
        <v>1698</v>
      </c>
      <c r="U1070" s="32">
        <f t="shared" si="65"/>
        <v>2651.078857142857</v>
      </c>
      <c r="V1070" s="32" t="s">
        <v>1487</v>
      </c>
      <c r="W1070" s="32">
        <f>VLOOKUP(N1070, 'Exchange rate- Vietnam'!$A$2:$B$65, 2, 0)</f>
        <v>14725.166666666701</v>
      </c>
      <c r="X1070" s="32">
        <f t="shared" si="66"/>
        <v>0.18003727340785169</v>
      </c>
      <c r="Y1070" s="32">
        <f>(CPI!$B$112/O1070)*X1070</f>
        <v>0.18003727340785169</v>
      </c>
      <c r="Z1070" s="38" t="s">
        <v>1609</v>
      </c>
      <c r="AA1070" s="35" t="s">
        <v>1425</v>
      </c>
      <c r="AB1070" s="32">
        <v>35000</v>
      </c>
      <c r="AC1070" s="32" t="s">
        <v>2598</v>
      </c>
      <c r="AE1070" s="32">
        <f t="shared" si="67"/>
        <v>520</v>
      </c>
      <c r="AF1070" s="32" t="s">
        <v>2599</v>
      </c>
      <c r="AH1070" s="32" t="s">
        <v>411</v>
      </c>
      <c r="AJ1070" s="35" t="s">
        <v>2328</v>
      </c>
      <c r="AK1070" s="40" t="s">
        <v>1700</v>
      </c>
      <c r="AL1070" s="32">
        <v>2008</v>
      </c>
      <c r="AM1070" s="32" t="s">
        <v>1701</v>
      </c>
      <c r="AN1070" s="32" t="s">
        <v>1702</v>
      </c>
      <c r="AO1070" s="38" t="s">
        <v>1703</v>
      </c>
      <c r="AP1070" s="35" t="s">
        <v>396</v>
      </c>
    </row>
    <row r="1071" spans="1:42" x14ac:dyDescent="0.2">
      <c r="A1071" s="40">
        <v>114</v>
      </c>
      <c r="B1071" s="40">
        <v>1070</v>
      </c>
      <c r="C1071" s="40" t="s">
        <v>119</v>
      </c>
      <c r="D1071" s="38" t="s">
        <v>128</v>
      </c>
      <c r="E1071" s="32" t="s">
        <v>2183</v>
      </c>
      <c r="F1071" s="32" t="s">
        <v>126</v>
      </c>
      <c r="G1071" s="38" t="s">
        <v>152</v>
      </c>
      <c r="H1071" s="32" t="s">
        <v>242</v>
      </c>
      <c r="I1071" s="32" t="s">
        <v>243</v>
      </c>
      <c r="J1071" s="32" t="s">
        <v>1699</v>
      </c>
      <c r="K1071" s="32" t="s">
        <v>1513</v>
      </c>
      <c r="L1071" s="32" t="s">
        <v>30</v>
      </c>
      <c r="M1071" s="32" t="s">
        <v>30</v>
      </c>
      <c r="N1071" s="40">
        <v>2001</v>
      </c>
      <c r="O1071" s="32">
        <f>VLOOKUP(Data!N1123, CPI!$A$2:$B$112, 2, 0)</f>
        <v>304.67675000000003</v>
      </c>
      <c r="P1071" s="32" t="s">
        <v>238</v>
      </c>
      <c r="Q1071" s="32" t="s">
        <v>239</v>
      </c>
      <c r="R1071" s="32" t="s">
        <v>1691</v>
      </c>
      <c r="S1071" s="32">
        <v>510870</v>
      </c>
      <c r="T1071" s="32" t="s">
        <v>1698</v>
      </c>
      <c r="U1071" s="32">
        <f t="shared" si="65"/>
        <v>7590.068571428571</v>
      </c>
      <c r="V1071" s="32" t="s">
        <v>1487</v>
      </c>
      <c r="W1071" s="32">
        <f>VLOOKUP(N1071, 'Exchange rate- Vietnam'!$A$2:$B$65, 2, 0)</f>
        <v>14725.166666666701</v>
      </c>
      <c r="X1071" s="32">
        <f t="shared" si="66"/>
        <v>0.51544873774571109</v>
      </c>
      <c r="Y1071" s="32">
        <f>(CPI!$B$112/O1071)*X1071</f>
        <v>0.51544873774571109</v>
      </c>
      <c r="Z1071" s="38" t="s">
        <v>1609</v>
      </c>
      <c r="AA1071" s="35" t="s">
        <v>1425</v>
      </c>
      <c r="AB1071" s="32">
        <v>35000</v>
      </c>
      <c r="AC1071" s="32" t="s">
        <v>2598</v>
      </c>
      <c r="AE1071" s="32">
        <f t="shared" si="67"/>
        <v>520</v>
      </c>
      <c r="AF1071" s="32" t="s">
        <v>2599</v>
      </c>
      <c r="AH1071" s="32" t="s">
        <v>411</v>
      </c>
      <c r="AJ1071" s="35" t="s">
        <v>2328</v>
      </c>
      <c r="AK1071" s="40" t="s">
        <v>1700</v>
      </c>
      <c r="AL1071" s="32">
        <v>2008</v>
      </c>
      <c r="AM1071" s="32" t="s">
        <v>1701</v>
      </c>
      <c r="AN1071" s="32" t="s">
        <v>1702</v>
      </c>
      <c r="AO1071" s="38" t="s">
        <v>1703</v>
      </c>
      <c r="AP1071" s="35" t="s">
        <v>396</v>
      </c>
    </row>
    <row r="1072" spans="1:42" x14ac:dyDescent="0.2">
      <c r="A1072" s="40">
        <v>114</v>
      </c>
      <c r="B1072" s="40">
        <v>1071</v>
      </c>
      <c r="C1072" s="40" t="s">
        <v>119</v>
      </c>
      <c r="D1072" s="38" t="s">
        <v>128</v>
      </c>
      <c r="E1072" s="32" t="s">
        <v>2183</v>
      </c>
      <c r="F1072" s="32" t="s">
        <v>126</v>
      </c>
      <c r="G1072" s="38" t="s">
        <v>127</v>
      </c>
      <c r="H1072" s="32" t="s">
        <v>242</v>
      </c>
      <c r="I1072" s="32" t="s">
        <v>243</v>
      </c>
      <c r="J1072" s="32" t="s">
        <v>1699</v>
      </c>
      <c r="K1072" s="32" t="s">
        <v>1513</v>
      </c>
      <c r="L1072" s="32" t="s">
        <v>30</v>
      </c>
      <c r="M1072" s="32" t="s">
        <v>30</v>
      </c>
      <c r="N1072" s="40">
        <v>2001</v>
      </c>
      <c r="O1072" s="32">
        <f>VLOOKUP(Data!N1124, CPI!$A$2:$B$112, 2, 0)</f>
        <v>304.67675000000003</v>
      </c>
      <c r="P1072" s="32" t="s">
        <v>238</v>
      </c>
      <c r="Q1072" s="32" t="s">
        <v>239</v>
      </c>
      <c r="R1072" s="32" t="s">
        <v>1692</v>
      </c>
      <c r="S1072" s="32">
        <v>184000</v>
      </c>
      <c r="T1072" s="32" t="s">
        <v>1698</v>
      </c>
      <c r="U1072" s="32">
        <f t="shared" si="65"/>
        <v>2733.7142857142858</v>
      </c>
      <c r="V1072" s="32" t="s">
        <v>1487</v>
      </c>
      <c r="W1072" s="32">
        <f>VLOOKUP(N1072, 'Exchange rate- Vietnam'!$A$2:$B$65, 2, 0)</f>
        <v>14725.166666666701</v>
      </c>
      <c r="X1072" s="32">
        <f t="shared" si="66"/>
        <v>0.18564912354456289</v>
      </c>
      <c r="Y1072" s="32">
        <f>(CPI!$B$112/O1072)*X1072</f>
        <v>0.18564912354456289</v>
      </c>
      <c r="Z1072" s="38" t="s">
        <v>1609</v>
      </c>
      <c r="AA1072" s="35" t="s">
        <v>1425</v>
      </c>
      <c r="AB1072" s="32">
        <v>35000</v>
      </c>
      <c r="AC1072" s="32" t="s">
        <v>2598</v>
      </c>
      <c r="AE1072" s="32">
        <f t="shared" si="67"/>
        <v>520</v>
      </c>
      <c r="AF1072" s="32" t="s">
        <v>2599</v>
      </c>
      <c r="AH1072" s="32" t="s">
        <v>411</v>
      </c>
      <c r="AJ1072" s="35" t="s">
        <v>2328</v>
      </c>
      <c r="AK1072" s="40" t="s">
        <v>1700</v>
      </c>
      <c r="AL1072" s="32">
        <v>2008</v>
      </c>
      <c r="AM1072" s="32" t="s">
        <v>1701</v>
      </c>
      <c r="AN1072" s="32" t="s">
        <v>1702</v>
      </c>
      <c r="AO1072" s="38" t="s">
        <v>1703</v>
      </c>
      <c r="AP1072" s="35" t="s">
        <v>396</v>
      </c>
    </row>
    <row r="1073" spans="1:42" x14ac:dyDescent="0.2">
      <c r="A1073" s="40">
        <v>114</v>
      </c>
      <c r="B1073" s="40">
        <v>1072</v>
      </c>
      <c r="C1073" s="40" t="s">
        <v>119</v>
      </c>
      <c r="D1073" s="38" t="s">
        <v>128</v>
      </c>
      <c r="E1073" s="32" t="s">
        <v>2183</v>
      </c>
      <c r="F1073" s="32" t="s">
        <v>126</v>
      </c>
      <c r="G1073" s="38" t="s">
        <v>153</v>
      </c>
      <c r="H1073" s="32" t="s">
        <v>242</v>
      </c>
      <c r="I1073" s="32" t="s">
        <v>243</v>
      </c>
      <c r="J1073" s="32" t="s">
        <v>1699</v>
      </c>
      <c r="K1073" s="32" t="s">
        <v>1513</v>
      </c>
      <c r="L1073" s="32" t="s">
        <v>30</v>
      </c>
      <c r="M1073" s="32" t="s">
        <v>30</v>
      </c>
      <c r="N1073" s="40">
        <v>2001</v>
      </c>
      <c r="O1073" s="32">
        <f>VLOOKUP(Data!N1125, CPI!$A$2:$B$112, 2, 0)</f>
        <v>304.67675000000003</v>
      </c>
      <c r="P1073" s="32" t="s">
        <v>238</v>
      </c>
      <c r="Q1073" s="32" t="s">
        <v>239</v>
      </c>
      <c r="R1073" s="32" t="s">
        <v>1693</v>
      </c>
      <c r="S1073" s="32">
        <v>1173947</v>
      </c>
      <c r="T1073" s="32" t="s">
        <v>1698</v>
      </c>
      <c r="U1073" s="32">
        <f t="shared" si="65"/>
        <v>17441.498285714286</v>
      </c>
      <c r="V1073" s="32" t="s">
        <v>1487</v>
      </c>
      <c r="W1073" s="32">
        <f>VLOOKUP(N1073, 'Exchange rate- Vietnam'!$A$2:$B$65, 2, 0)</f>
        <v>14725.166666666701</v>
      </c>
      <c r="X1073" s="32">
        <f t="shared" si="66"/>
        <v>1.1844686502052661</v>
      </c>
      <c r="Y1073" s="32">
        <f>(CPI!$B$112/O1073)*X1073</f>
        <v>1.1844686502052661</v>
      </c>
      <c r="Z1073" s="38" t="s">
        <v>1609</v>
      </c>
      <c r="AA1073" s="35" t="s">
        <v>1425</v>
      </c>
      <c r="AB1073" s="32">
        <v>35000</v>
      </c>
      <c r="AC1073" s="32" t="s">
        <v>2598</v>
      </c>
      <c r="AE1073" s="32">
        <f t="shared" si="67"/>
        <v>520</v>
      </c>
      <c r="AF1073" s="32" t="s">
        <v>2599</v>
      </c>
      <c r="AH1073" s="32" t="s">
        <v>411</v>
      </c>
      <c r="AJ1073" s="35" t="s">
        <v>2328</v>
      </c>
      <c r="AK1073" s="40" t="s">
        <v>1700</v>
      </c>
      <c r="AL1073" s="32">
        <v>2008</v>
      </c>
      <c r="AM1073" s="32" t="s">
        <v>1701</v>
      </c>
      <c r="AN1073" s="32" t="s">
        <v>1702</v>
      </c>
      <c r="AO1073" s="38" t="s">
        <v>1703</v>
      </c>
      <c r="AP1073" s="35" t="s">
        <v>396</v>
      </c>
    </row>
    <row r="1074" spans="1:42" x14ac:dyDescent="0.2">
      <c r="A1074" s="40">
        <v>114</v>
      </c>
      <c r="B1074" s="40">
        <v>1073</v>
      </c>
      <c r="C1074" s="40" t="s">
        <v>119</v>
      </c>
      <c r="D1074" s="38" t="s">
        <v>128</v>
      </c>
      <c r="E1074" s="32" t="s">
        <v>2183</v>
      </c>
      <c r="F1074" s="32" t="s">
        <v>140</v>
      </c>
      <c r="G1074" s="38" t="s">
        <v>2160</v>
      </c>
      <c r="H1074" s="32" t="s">
        <v>242</v>
      </c>
      <c r="I1074" s="32" t="s">
        <v>243</v>
      </c>
      <c r="J1074" s="32" t="s">
        <v>1699</v>
      </c>
      <c r="K1074" s="32" t="s">
        <v>1513</v>
      </c>
      <c r="L1074" s="32" t="s">
        <v>30</v>
      </c>
      <c r="M1074" s="32" t="s">
        <v>30</v>
      </c>
      <c r="N1074" s="40">
        <v>2001</v>
      </c>
      <c r="O1074" s="32">
        <f>VLOOKUP(Data!N1126, CPI!$A$2:$B$112, 2, 0)</f>
        <v>304.67675000000003</v>
      </c>
      <c r="P1074" s="32" t="s">
        <v>238</v>
      </c>
      <c r="Q1074" s="32" t="s">
        <v>239</v>
      </c>
      <c r="R1074" s="32" t="s">
        <v>1694</v>
      </c>
      <c r="S1074" s="32">
        <v>232429</v>
      </c>
      <c r="T1074" s="32" t="s">
        <v>1698</v>
      </c>
      <c r="U1074" s="32">
        <f t="shared" si="65"/>
        <v>3453.2308571428571</v>
      </c>
      <c r="V1074" s="32" t="s">
        <v>1487</v>
      </c>
      <c r="W1074" s="32">
        <f>VLOOKUP(N1074, 'Exchange rate- Vietnam'!$A$2:$B$65, 2, 0)</f>
        <v>14725.166666666701</v>
      </c>
      <c r="X1074" s="32">
        <f t="shared" si="66"/>
        <v>0.23451217465401744</v>
      </c>
      <c r="Y1074" s="32">
        <f>(CPI!$B$112/O1074)*X1074</f>
        <v>0.23451217465401744</v>
      </c>
      <c r="Z1074" s="38" t="s">
        <v>1609</v>
      </c>
      <c r="AA1074" s="35" t="s">
        <v>1425</v>
      </c>
      <c r="AB1074" s="32">
        <v>35000</v>
      </c>
      <c r="AC1074" s="32" t="s">
        <v>2598</v>
      </c>
      <c r="AE1074" s="32">
        <f t="shared" si="67"/>
        <v>520</v>
      </c>
      <c r="AF1074" s="32" t="s">
        <v>2599</v>
      </c>
      <c r="AH1074" s="32" t="s">
        <v>411</v>
      </c>
      <c r="AJ1074" s="35" t="s">
        <v>2328</v>
      </c>
      <c r="AK1074" s="40" t="s">
        <v>1700</v>
      </c>
      <c r="AL1074" s="32">
        <v>2008</v>
      </c>
      <c r="AM1074" s="32" t="s">
        <v>1701</v>
      </c>
      <c r="AN1074" s="32" t="s">
        <v>1702</v>
      </c>
      <c r="AO1074" s="38" t="s">
        <v>1703</v>
      </c>
      <c r="AP1074" s="35" t="s">
        <v>396</v>
      </c>
    </row>
    <row r="1075" spans="1:42" x14ac:dyDescent="0.2">
      <c r="A1075" s="40">
        <v>114</v>
      </c>
      <c r="B1075" s="40">
        <v>1074</v>
      </c>
      <c r="C1075" s="40" t="s">
        <v>119</v>
      </c>
      <c r="D1075" s="38" t="s">
        <v>128</v>
      </c>
      <c r="E1075" s="32" t="s">
        <v>2183</v>
      </c>
      <c r="F1075" s="32" t="s">
        <v>237</v>
      </c>
      <c r="G1075" s="38" t="s">
        <v>117</v>
      </c>
      <c r="H1075" s="32" t="s">
        <v>242</v>
      </c>
      <c r="I1075" s="32" t="s">
        <v>243</v>
      </c>
      <c r="J1075" s="32" t="s">
        <v>1699</v>
      </c>
      <c r="K1075" s="32" t="s">
        <v>1513</v>
      </c>
      <c r="L1075" s="32" t="s">
        <v>30</v>
      </c>
      <c r="M1075" s="32" t="s">
        <v>30</v>
      </c>
      <c r="N1075" s="40">
        <v>2001</v>
      </c>
      <c r="O1075" s="32">
        <f>VLOOKUP(Data!N1127, CPI!$A$2:$B$112, 2, 0)</f>
        <v>304.67675000000003</v>
      </c>
      <c r="P1075" s="32" t="s">
        <v>238</v>
      </c>
      <c r="Q1075" s="32" t="s">
        <v>239</v>
      </c>
      <c r="R1075" s="32" t="s">
        <v>1695</v>
      </c>
      <c r="S1075" s="32">
        <v>733333</v>
      </c>
      <c r="T1075" s="32" t="s">
        <v>1698</v>
      </c>
      <c r="U1075" s="32">
        <f t="shared" si="65"/>
        <v>10895.233142857143</v>
      </c>
      <c r="V1075" s="32" t="s">
        <v>1487</v>
      </c>
      <c r="W1075" s="32">
        <f>VLOOKUP(N1075, 'Exchange rate- Vietnam'!$A$2:$B$65, 2, 0)</f>
        <v>14725.166666666701</v>
      </c>
      <c r="X1075" s="32">
        <f t="shared" si="66"/>
        <v>0.73990559084948337</v>
      </c>
      <c r="Y1075" s="32">
        <f>(CPI!$B$112/O1075)*X1075</f>
        <v>0.73990559084948337</v>
      </c>
      <c r="Z1075" s="38" t="s">
        <v>1609</v>
      </c>
      <c r="AA1075" s="35" t="s">
        <v>1425</v>
      </c>
      <c r="AB1075" s="32">
        <v>35000</v>
      </c>
      <c r="AC1075" s="32" t="s">
        <v>2598</v>
      </c>
      <c r="AE1075" s="32">
        <f t="shared" si="67"/>
        <v>520</v>
      </c>
      <c r="AF1075" s="32" t="s">
        <v>2599</v>
      </c>
      <c r="AH1075" s="32" t="s">
        <v>411</v>
      </c>
      <c r="AJ1075" s="35" t="s">
        <v>2328</v>
      </c>
      <c r="AK1075" s="40" t="s">
        <v>1700</v>
      </c>
      <c r="AL1075" s="32">
        <v>2008</v>
      </c>
      <c r="AM1075" s="32" t="s">
        <v>1701</v>
      </c>
      <c r="AN1075" s="32" t="s">
        <v>1702</v>
      </c>
      <c r="AO1075" s="38" t="s">
        <v>1703</v>
      </c>
      <c r="AP1075" s="35" t="s">
        <v>396</v>
      </c>
    </row>
    <row r="1076" spans="1:42" x14ac:dyDescent="0.2">
      <c r="A1076" s="40">
        <v>114</v>
      </c>
      <c r="B1076" s="40">
        <v>1075</v>
      </c>
      <c r="C1076" s="40" t="s">
        <v>119</v>
      </c>
      <c r="D1076" s="38" t="s">
        <v>128</v>
      </c>
      <c r="E1076" s="32" t="s">
        <v>2183</v>
      </c>
      <c r="F1076" s="32" t="s">
        <v>126</v>
      </c>
      <c r="G1076" s="38" t="s">
        <v>1687</v>
      </c>
      <c r="H1076" s="32" t="s">
        <v>242</v>
      </c>
      <c r="I1076" s="32" t="s">
        <v>243</v>
      </c>
      <c r="J1076" s="32" t="s">
        <v>1699</v>
      </c>
      <c r="K1076" s="32" t="s">
        <v>1513</v>
      </c>
      <c r="L1076" s="32" t="s">
        <v>30</v>
      </c>
      <c r="M1076" s="32" t="s">
        <v>30</v>
      </c>
      <c r="N1076" s="40">
        <v>2001</v>
      </c>
      <c r="O1076" s="32">
        <f>VLOOKUP(Data!N1128, CPI!$A$2:$B$112, 2, 0)</f>
        <v>304.67675000000003</v>
      </c>
      <c r="P1076" s="32" t="s">
        <v>238</v>
      </c>
      <c r="Q1076" s="32" t="s">
        <v>239</v>
      </c>
      <c r="R1076" s="32" t="s">
        <v>1696</v>
      </c>
      <c r="S1076" s="32">
        <v>20000</v>
      </c>
      <c r="T1076" s="32" t="s">
        <v>1698</v>
      </c>
      <c r="U1076" s="32">
        <f t="shared" si="65"/>
        <v>297.14285714285717</v>
      </c>
      <c r="V1076" s="32" t="s">
        <v>1487</v>
      </c>
      <c r="W1076" s="32">
        <f>VLOOKUP(N1076, 'Exchange rate- Vietnam'!$A$2:$B$65, 2, 0)</f>
        <v>14725.166666666701</v>
      </c>
      <c r="X1076" s="32">
        <f t="shared" si="66"/>
        <v>2.0179252559191622E-2</v>
      </c>
      <c r="Y1076" s="32">
        <f>(CPI!$B$112/O1076)*X1076</f>
        <v>2.0179252559191622E-2</v>
      </c>
      <c r="Z1076" s="38" t="s">
        <v>1609</v>
      </c>
      <c r="AA1076" s="35" t="s">
        <v>1425</v>
      </c>
      <c r="AB1076" s="32">
        <v>35000</v>
      </c>
      <c r="AC1076" s="32" t="s">
        <v>2598</v>
      </c>
      <c r="AE1076" s="32">
        <f t="shared" si="67"/>
        <v>520</v>
      </c>
      <c r="AF1076" s="32" t="s">
        <v>2599</v>
      </c>
      <c r="AH1076" s="32" t="s">
        <v>411</v>
      </c>
      <c r="AJ1076" s="35" t="s">
        <v>2328</v>
      </c>
      <c r="AK1076" s="40" t="s">
        <v>1700</v>
      </c>
      <c r="AL1076" s="32">
        <v>2008</v>
      </c>
      <c r="AM1076" s="32" t="s">
        <v>1701</v>
      </c>
      <c r="AN1076" s="32" t="s">
        <v>1702</v>
      </c>
      <c r="AO1076" s="38" t="s">
        <v>1703</v>
      </c>
      <c r="AP1076" s="35" t="s">
        <v>396</v>
      </c>
    </row>
    <row r="1077" spans="1:42" x14ac:dyDescent="0.2">
      <c r="A1077" s="40">
        <v>114</v>
      </c>
      <c r="B1077" s="40">
        <v>1076</v>
      </c>
      <c r="C1077" s="40" t="s">
        <v>119</v>
      </c>
      <c r="D1077" s="38" t="s">
        <v>128</v>
      </c>
      <c r="E1077" s="32" t="s">
        <v>2186</v>
      </c>
      <c r="F1077" s="32" t="s">
        <v>21</v>
      </c>
      <c r="G1077" s="38" t="s">
        <v>163</v>
      </c>
      <c r="H1077" s="32" t="s">
        <v>242</v>
      </c>
      <c r="I1077" s="32" t="s">
        <v>243</v>
      </c>
      <c r="J1077" s="32" t="s">
        <v>1699</v>
      </c>
      <c r="K1077" s="32" t="s">
        <v>1513</v>
      </c>
      <c r="L1077" s="32" t="s">
        <v>30</v>
      </c>
      <c r="M1077" s="32" t="s">
        <v>30</v>
      </c>
      <c r="N1077" s="40">
        <v>2001</v>
      </c>
      <c r="O1077" s="32">
        <f>VLOOKUP(Data!N1129, CPI!$A$2:$B$112, 2, 0)</f>
        <v>304.67675000000003</v>
      </c>
      <c r="P1077" s="32" t="s">
        <v>238</v>
      </c>
      <c r="Q1077" s="32" t="s">
        <v>239</v>
      </c>
      <c r="R1077" s="32" t="s">
        <v>1697</v>
      </c>
      <c r="S1077" s="32">
        <v>500000</v>
      </c>
      <c r="T1077" s="32" t="s">
        <v>1698</v>
      </c>
      <c r="U1077" s="32">
        <f t="shared" si="65"/>
        <v>7428.5714285714284</v>
      </c>
      <c r="V1077" s="32" t="s">
        <v>1487</v>
      </c>
      <c r="W1077" s="32">
        <f>VLOOKUP(N1077, 'Exchange rate- Vietnam'!$A$2:$B$65, 2, 0)</f>
        <v>14725.166666666701</v>
      </c>
      <c r="X1077" s="32">
        <f t="shared" si="66"/>
        <v>0.50448131397979046</v>
      </c>
      <c r="Y1077" s="32">
        <f>(CPI!$B$112/O1077)*X1077</f>
        <v>0.50448131397979046</v>
      </c>
      <c r="Z1077" s="38" t="s">
        <v>1609</v>
      </c>
      <c r="AA1077" s="35" t="s">
        <v>1425</v>
      </c>
      <c r="AB1077" s="32">
        <v>35000</v>
      </c>
      <c r="AC1077" s="32" t="s">
        <v>2598</v>
      </c>
      <c r="AE1077" s="32">
        <f t="shared" si="67"/>
        <v>520</v>
      </c>
      <c r="AF1077" s="32" t="s">
        <v>2599</v>
      </c>
      <c r="AH1077" s="32" t="s">
        <v>411</v>
      </c>
      <c r="AJ1077" s="35" t="s">
        <v>2328</v>
      </c>
      <c r="AK1077" s="40" t="s">
        <v>1700</v>
      </c>
      <c r="AL1077" s="32">
        <v>2008</v>
      </c>
      <c r="AM1077" s="32" t="s">
        <v>1701</v>
      </c>
      <c r="AN1077" s="32" t="s">
        <v>1702</v>
      </c>
      <c r="AO1077" s="38" t="s">
        <v>1703</v>
      </c>
      <c r="AP1077" s="35" t="s">
        <v>396</v>
      </c>
    </row>
    <row r="1078" spans="1:42" x14ac:dyDescent="0.2">
      <c r="A1078" s="40">
        <v>115</v>
      </c>
      <c r="B1078" s="40">
        <v>1077</v>
      </c>
      <c r="C1078" s="40" t="s">
        <v>241</v>
      </c>
      <c r="D1078" s="38" t="s">
        <v>240</v>
      </c>
      <c r="E1078" s="32" t="s">
        <v>2186</v>
      </c>
      <c r="F1078" s="32" t="s">
        <v>21</v>
      </c>
      <c r="G1078" s="38" t="s">
        <v>163</v>
      </c>
      <c r="H1078" s="32" t="s">
        <v>115</v>
      </c>
      <c r="I1078" s="32" t="s">
        <v>137</v>
      </c>
      <c r="J1078" s="32" t="s">
        <v>1513</v>
      </c>
      <c r="K1078" s="32" t="s">
        <v>1513</v>
      </c>
      <c r="L1078" s="32" t="s">
        <v>30</v>
      </c>
      <c r="M1078" s="32" t="s">
        <v>30</v>
      </c>
      <c r="N1078" s="40">
        <v>2016</v>
      </c>
      <c r="O1078" s="32">
        <f>VLOOKUP(Data!N1532, CPI!$A$2:$B$112, 2, 0)</f>
        <v>251.107</v>
      </c>
      <c r="P1078" s="32" t="s">
        <v>238</v>
      </c>
      <c r="Q1078" s="32" t="s">
        <v>239</v>
      </c>
      <c r="R1078" s="32" t="s">
        <v>1704</v>
      </c>
      <c r="S1078" s="32">
        <v>4500</v>
      </c>
      <c r="T1078" s="32" t="s">
        <v>608</v>
      </c>
      <c r="Z1078" s="38" t="s">
        <v>262</v>
      </c>
      <c r="AA1078" s="35" t="s">
        <v>1706</v>
      </c>
      <c r="AB1078" s="32" t="s">
        <v>30</v>
      </c>
      <c r="AH1078" s="32" t="s">
        <v>397</v>
      </c>
      <c r="AI1078" s="32" t="s">
        <v>2268</v>
      </c>
      <c r="AK1078" s="40" t="s">
        <v>1707</v>
      </c>
      <c r="AL1078" s="32">
        <v>2016</v>
      </c>
      <c r="AM1078" s="32" t="s">
        <v>1708</v>
      </c>
      <c r="AN1078" s="32" t="s">
        <v>1709</v>
      </c>
      <c r="AO1078" s="38" t="s">
        <v>1710</v>
      </c>
      <c r="AP1078" s="35" t="s">
        <v>396</v>
      </c>
    </row>
    <row r="1079" spans="1:42" x14ac:dyDescent="0.2">
      <c r="A1079" s="40">
        <v>115</v>
      </c>
      <c r="B1079" s="40">
        <v>1078</v>
      </c>
      <c r="C1079" s="40" t="s">
        <v>241</v>
      </c>
      <c r="D1079" s="38" t="s">
        <v>240</v>
      </c>
      <c r="E1079" s="32" t="s">
        <v>2186</v>
      </c>
      <c r="F1079" s="32" t="s">
        <v>21</v>
      </c>
      <c r="G1079" s="38" t="s">
        <v>163</v>
      </c>
      <c r="H1079" s="32" t="s">
        <v>115</v>
      </c>
      <c r="I1079" s="32" t="s">
        <v>137</v>
      </c>
      <c r="J1079" s="32" t="s">
        <v>1513</v>
      </c>
      <c r="K1079" s="32" t="s">
        <v>1513</v>
      </c>
      <c r="L1079" s="32" t="s">
        <v>30</v>
      </c>
      <c r="M1079" s="32" t="s">
        <v>30</v>
      </c>
      <c r="N1079" s="40">
        <v>2016</v>
      </c>
      <c r="O1079" s="32">
        <f>VLOOKUP(Data!N1533, CPI!$A$2:$B$112, 2, 0)</f>
        <v>251.107</v>
      </c>
      <c r="P1079" s="32" t="s">
        <v>238</v>
      </c>
      <c r="Q1079" s="32" t="s">
        <v>239</v>
      </c>
      <c r="R1079" s="32" t="s">
        <v>1705</v>
      </c>
      <c r="S1079" s="32">
        <v>1000</v>
      </c>
      <c r="T1079" s="32" t="s">
        <v>608</v>
      </c>
      <c r="Z1079" s="38" t="s">
        <v>262</v>
      </c>
      <c r="AA1079" s="35" t="s">
        <v>1706</v>
      </c>
      <c r="AB1079" s="32" t="s">
        <v>30</v>
      </c>
      <c r="AH1079" s="32" t="s">
        <v>397</v>
      </c>
      <c r="AI1079" s="32" t="s">
        <v>2268</v>
      </c>
      <c r="AK1079" s="40" t="s">
        <v>1707</v>
      </c>
      <c r="AL1079" s="32">
        <v>2016</v>
      </c>
      <c r="AM1079" s="32" t="s">
        <v>1708</v>
      </c>
      <c r="AN1079" s="32" t="s">
        <v>1709</v>
      </c>
      <c r="AO1079" s="38" t="s">
        <v>1710</v>
      </c>
      <c r="AP1079" s="35" t="s">
        <v>396</v>
      </c>
    </row>
    <row r="1080" spans="1:42" x14ac:dyDescent="0.2">
      <c r="A1080" s="40">
        <v>116</v>
      </c>
      <c r="B1080" s="40">
        <v>1079</v>
      </c>
      <c r="C1080" s="40" t="s">
        <v>119</v>
      </c>
      <c r="D1080" s="38" t="s">
        <v>128</v>
      </c>
      <c r="E1080" s="32" t="s">
        <v>2183</v>
      </c>
      <c r="F1080" s="32" t="s">
        <v>126</v>
      </c>
      <c r="G1080" s="38" t="s">
        <v>152</v>
      </c>
      <c r="H1080" s="32" t="s">
        <v>151</v>
      </c>
      <c r="I1080" s="32" t="s">
        <v>120</v>
      </c>
      <c r="J1080" s="32" t="s">
        <v>1711</v>
      </c>
      <c r="K1080" s="32" t="s">
        <v>1513</v>
      </c>
      <c r="L1080" s="32" t="s">
        <v>30</v>
      </c>
      <c r="M1080" s="32" t="s">
        <v>30</v>
      </c>
      <c r="N1080" s="40">
        <v>2008</v>
      </c>
      <c r="O1080" s="32">
        <f>VLOOKUP(Data!N782, CPI!$A$2:$B$112, 2, 0)</f>
        <v>240.00700000000001</v>
      </c>
      <c r="P1080" s="32" t="s">
        <v>21</v>
      </c>
      <c r="Q1080" s="32" t="s">
        <v>250</v>
      </c>
      <c r="R1080" s="32" t="s">
        <v>1712</v>
      </c>
      <c r="S1080" s="32">
        <v>3057</v>
      </c>
      <c r="T1080" s="32" t="s">
        <v>603</v>
      </c>
      <c r="U1080" s="32">
        <f>S1080/10</f>
        <v>305.7</v>
      </c>
      <c r="V1080" s="32" t="s">
        <v>316</v>
      </c>
      <c r="X1080" s="32">
        <f t="shared" ref="X1080:X1111" si="68">U1080</f>
        <v>305.7</v>
      </c>
      <c r="Y1080" s="32">
        <f>(CPI!$B$112/O1080)*X1080</f>
        <v>388.07069158399548</v>
      </c>
      <c r="Z1080" s="38" t="s">
        <v>262</v>
      </c>
      <c r="AA1080" s="35" t="s">
        <v>1446</v>
      </c>
      <c r="AB1080" s="32">
        <v>116400</v>
      </c>
      <c r="AH1080" s="32" t="s">
        <v>411</v>
      </c>
      <c r="AI1080" s="32" t="s">
        <v>1727</v>
      </c>
      <c r="AK1080" s="40" t="s">
        <v>1728</v>
      </c>
      <c r="AL1080" s="32">
        <v>2014</v>
      </c>
      <c r="AM1080" s="32" t="s">
        <v>1729</v>
      </c>
      <c r="AN1080" s="32" t="s">
        <v>1730</v>
      </c>
      <c r="AO1080" s="38" t="s">
        <v>1731</v>
      </c>
      <c r="AP1080" s="35" t="s">
        <v>396</v>
      </c>
    </row>
    <row r="1081" spans="1:42" x14ac:dyDescent="0.2">
      <c r="A1081" s="40">
        <v>116</v>
      </c>
      <c r="B1081" s="40">
        <v>1080</v>
      </c>
      <c r="C1081" s="40" t="s">
        <v>119</v>
      </c>
      <c r="D1081" s="38" t="s">
        <v>128</v>
      </c>
      <c r="E1081" s="32" t="s">
        <v>2183</v>
      </c>
      <c r="F1081" s="32" t="s">
        <v>126</v>
      </c>
      <c r="G1081" s="38" t="s">
        <v>152</v>
      </c>
      <c r="H1081" s="32" t="s">
        <v>151</v>
      </c>
      <c r="I1081" s="32" t="s">
        <v>120</v>
      </c>
      <c r="J1081" s="32" t="s">
        <v>1711</v>
      </c>
      <c r="K1081" s="32" t="s">
        <v>1513</v>
      </c>
      <c r="L1081" s="32" t="s">
        <v>30</v>
      </c>
      <c r="M1081" s="32" t="s">
        <v>30</v>
      </c>
      <c r="N1081" s="40">
        <v>2008</v>
      </c>
      <c r="O1081" s="32">
        <f>VLOOKUP(Data!N783, CPI!$A$2:$B$112, 2, 0)</f>
        <v>240.00700000000001</v>
      </c>
      <c r="P1081" s="32" t="s">
        <v>21</v>
      </c>
      <c r="Q1081" s="32" t="s">
        <v>250</v>
      </c>
      <c r="R1081" s="32" t="s">
        <v>1713</v>
      </c>
      <c r="S1081" s="32">
        <v>950</v>
      </c>
      <c r="T1081" s="32" t="s">
        <v>603</v>
      </c>
      <c r="U1081" s="32">
        <f>S1081/10</f>
        <v>95</v>
      </c>
      <c r="V1081" s="32" t="s">
        <v>316</v>
      </c>
      <c r="X1081" s="32">
        <f t="shared" si="68"/>
        <v>95</v>
      </c>
      <c r="Y1081" s="32">
        <f>(CPI!$B$112/O1081)*X1081</f>
        <v>120.59769610886349</v>
      </c>
      <c r="Z1081" s="38" t="s">
        <v>262</v>
      </c>
      <c r="AA1081" s="35" t="s">
        <v>1446</v>
      </c>
      <c r="AB1081" s="32">
        <v>116400</v>
      </c>
      <c r="AH1081" s="32" t="s">
        <v>411</v>
      </c>
      <c r="AI1081" s="32" t="s">
        <v>1727</v>
      </c>
      <c r="AK1081" s="40" t="s">
        <v>1728</v>
      </c>
      <c r="AL1081" s="32">
        <v>2014</v>
      </c>
      <c r="AM1081" s="32" t="s">
        <v>1729</v>
      </c>
      <c r="AN1081" s="32" t="s">
        <v>1730</v>
      </c>
      <c r="AO1081" s="38" t="s">
        <v>1731</v>
      </c>
      <c r="AP1081" s="35" t="s">
        <v>396</v>
      </c>
    </row>
    <row r="1082" spans="1:42" x14ac:dyDescent="0.2">
      <c r="A1082" s="40">
        <v>116</v>
      </c>
      <c r="B1082" s="40">
        <v>1081</v>
      </c>
      <c r="C1082" s="40" t="s">
        <v>119</v>
      </c>
      <c r="D1082" s="38" t="s">
        <v>128</v>
      </c>
      <c r="E1082" s="32" t="s">
        <v>2183</v>
      </c>
      <c r="F1082" s="32" t="s">
        <v>126</v>
      </c>
      <c r="G1082" s="38" t="s">
        <v>152</v>
      </c>
      <c r="H1082" s="32" t="s">
        <v>151</v>
      </c>
      <c r="I1082" s="32" t="s">
        <v>120</v>
      </c>
      <c r="J1082" s="32" t="s">
        <v>1711</v>
      </c>
      <c r="K1082" s="32" t="s">
        <v>1513</v>
      </c>
      <c r="L1082" s="32" t="s">
        <v>30</v>
      </c>
      <c r="M1082" s="32" t="s">
        <v>30</v>
      </c>
      <c r="N1082" s="40">
        <v>2008</v>
      </c>
      <c r="O1082" s="32">
        <f>VLOOKUP(Data!N784, CPI!$A$2:$B$112, 2, 0)</f>
        <v>240.00700000000001</v>
      </c>
      <c r="P1082" s="32" t="s">
        <v>21</v>
      </c>
      <c r="Q1082" s="32" t="s">
        <v>250</v>
      </c>
      <c r="R1082" s="32" t="s">
        <v>1714</v>
      </c>
      <c r="S1082" s="32">
        <v>418</v>
      </c>
      <c r="T1082" s="32" t="s">
        <v>603</v>
      </c>
      <c r="U1082" s="32">
        <f>S1082/9</f>
        <v>46.444444444444443</v>
      </c>
      <c r="V1082" s="32" t="s">
        <v>316</v>
      </c>
      <c r="X1082" s="32">
        <f t="shared" si="68"/>
        <v>46.444444444444443</v>
      </c>
      <c r="Y1082" s="32">
        <f>(CPI!$B$112/O1082)*X1082</f>
        <v>58.958873653222149</v>
      </c>
      <c r="Z1082" s="38" t="s">
        <v>262</v>
      </c>
      <c r="AA1082" s="35" t="s">
        <v>1446</v>
      </c>
      <c r="AB1082" s="32">
        <v>116400</v>
      </c>
      <c r="AH1082" s="32" t="s">
        <v>411</v>
      </c>
      <c r="AI1082" s="32" t="s">
        <v>1727</v>
      </c>
      <c r="AK1082" s="40" t="s">
        <v>1728</v>
      </c>
      <c r="AL1082" s="32">
        <v>2014</v>
      </c>
      <c r="AM1082" s="32" t="s">
        <v>1729</v>
      </c>
      <c r="AN1082" s="32" t="s">
        <v>1730</v>
      </c>
      <c r="AO1082" s="38" t="s">
        <v>1731</v>
      </c>
      <c r="AP1082" s="35" t="s">
        <v>396</v>
      </c>
    </row>
    <row r="1083" spans="1:42" x14ac:dyDescent="0.2">
      <c r="A1083" s="40">
        <v>116</v>
      </c>
      <c r="B1083" s="40">
        <v>1082</v>
      </c>
      <c r="C1083" s="40" t="s">
        <v>119</v>
      </c>
      <c r="D1083" s="38" t="s">
        <v>128</v>
      </c>
      <c r="E1083" s="32" t="s">
        <v>2183</v>
      </c>
      <c r="F1083" s="32" t="s">
        <v>126</v>
      </c>
      <c r="G1083" s="38" t="s">
        <v>152</v>
      </c>
      <c r="H1083" s="32" t="s">
        <v>151</v>
      </c>
      <c r="I1083" s="32" t="s">
        <v>120</v>
      </c>
      <c r="J1083" s="32" t="s">
        <v>1711</v>
      </c>
      <c r="K1083" s="32" t="s">
        <v>1513</v>
      </c>
      <c r="L1083" s="32" t="s">
        <v>30</v>
      </c>
      <c r="M1083" s="32" t="s">
        <v>30</v>
      </c>
      <c r="N1083" s="40">
        <v>2008</v>
      </c>
      <c r="O1083" s="32">
        <f>VLOOKUP(Data!N785, CPI!$A$2:$B$112, 2, 0)</f>
        <v>224.93899999999999</v>
      </c>
      <c r="P1083" s="32" t="s">
        <v>21</v>
      </c>
      <c r="Q1083" s="32" t="s">
        <v>250</v>
      </c>
      <c r="R1083" s="32" t="s">
        <v>1715</v>
      </c>
      <c r="S1083" s="32">
        <v>224</v>
      </c>
      <c r="T1083" s="32" t="s">
        <v>603</v>
      </c>
      <c r="U1083" s="32">
        <f>S1083/9</f>
        <v>24.888888888888889</v>
      </c>
      <c r="V1083" s="32" t="s">
        <v>316</v>
      </c>
      <c r="X1083" s="32">
        <f t="shared" si="68"/>
        <v>24.888888888888889</v>
      </c>
      <c r="Y1083" s="32">
        <f>(CPI!$B$112/O1083)*X1083</f>
        <v>33.711654171921182</v>
      </c>
      <c r="Z1083" s="38" t="s">
        <v>262</v>
      </c>
      <c r="AA1083" s="35" t="s">
        <v>1446</v>
      </c>
      <c r="AB1083" s="32">
        <v>116400</v>
      </c>
      <c r="AH1083" s="32" t="s">
        <v>411</v>
      </c>
      <c r="AI1083" s="32" t="s">
        <v>1727</v>
      </c>
      <c r="AK1083" s="40" t="s">
        <v>1728</v>
      </c>
      <c r="AL1083" s="32">
        <v>2014</v>
      </c>
      <c r="AM1083" s="32" t="s">
        <v>1729</v>
      </c>
      <c r="AN1083" s="32" t="s">
        <v>1730</v>
      </c>
      <c r="AO1083" s="38" t="s">
        <v>1731</v>
      </c>
      <c r="AP1083" s="35" t="s">
        <v>396</v>
      </c>
    </row>
    <row r="1084" spans="1:42" x14ac:dyDescent="0.2">
      <c r="A1084" s="40">
        <v>116</v>
      </c>
      <c r="B1084" s="40">
        <v>1083</v>
      </c>
      <c r="C1084" s="40" t="s">
        <v>119</v>
      </c>
      <c r="D1084" s="38" t="s">
        <v>128</v>
      </c>
      <c r="E1084" s="32" t="s">
        <v>2183</v>
      </c>
      <c r="F1084" s="32" t="s">
        <v>126</v>
      </c>
      <c r="G1084" s="38" t="s">
        <v>152</v>
      </c>
      <c r="H1084" s="32" t="s">
        <v>151</v>
      </c>
      <c r="I1084" s="32" t="s">
        <v>120</v>
      </c>
      <c r="J1084" s="32" t="s">
        <v>1711</v>
      </c>
      <c r="K1084" s="32" t="s">
        <v>1513</v>
      </c>
      <c r="L1084" s="32" t="s">
        <v>30</v>
      </c>
      <c r="M1084" s="32" t="s">
        <v>30</v>
      </c>
      <c r="N1084" s="40">
        <v>2008</v>
      </c>
      <c r="O1084" s="32">
        <f>VLOOKUP(Data!N786, CPI!$A$2:$B$112, 2, 0)</f>
        <v>229.59399999999999</v>
      </c>
      <c r="P1084" s="32" t="s">
        <v>21</v>
      </c>
      <c r="Q1084" s="32" t="s">
        <v>250</v>
      </c>
      <c r="R1084" s="32" t="s">
        <v>1716</v>
      </c>
      <c r="S1084" s="32">
        <v>1140</v>
      </c>
      <c r="T1084" s="32" t="s">
        <v>603</v>
      </c>
      <c r="U1084" s="32">
        <f>S1084/9.6</f>
        <v>118.75</v>
      </c>
      <c r="V1084" s="32" t="s">
        <v>316</v>
      </c>
      <c r="X1084" s="32">
        <f t="shared" si="68"/>
        <v>118.75</v>
      </c>
      <c r="Y1084" s="32">
        <f>(CPI!$B$112/O1084)*X1084</f>
        <v>157.58410090202707</v>
      </c>
      <c r="Z1084" s="38" t="s">
        <v>262</v>
      </c>
      <c r="AA1084" s="35" t="s">
        <v>1446</v>
      </c>
      <c r="AB1084" s="32">
        <v>116400</v>
      </c>
      <c r="AH1084" s="32" t="s">
        <v>411</v>
      </c>
      <c r="AI1084" s="32" t="s">
        <v>1727</v>
      </c>
      <c r="AK1084" s="40" t="s">
        <v>1728</v>
      </c>
      <c r="AL1084" s="32">
        <v>2014</v>
      </c>
      <c r="AM1084" s="32" t="s">
        <v>1729</v>
      </c>
      <c r="AN1084" s="32" t="s">
        <v>1730</v>
      </c>
      <c r="AO1084" s="38" t="s">
        <v>1731</v>
      </c>
      <c r="AP1084" s="35" t="s">
        <v>396</v>
      </c>
    </row>
    <row r="1085" spans="1:42" x14ac:dyDescent="0.2">
      <c r="A1085" s="40">
        <v>116</v>
      </c>
      <c r="B1085" s="40">
        <v>1084</v>
      </c>
      <c r="C1085" s="40" t="s">
        <v>119</v>
      </c>
      <c r="D1085" s="38" t="s">
        <v>128</v>
      </c>
      <c r="E1085" s="32" t="s">
        <v>2183</v>
      </c>
      <c r="F1085" s="32" t="s">
        <v>126</v>
      </c>
      <c r="G1085" s="38" t="s">
        <v>152</v>
      </c>
      <c r="H1085" s="32" t="s">
        <v>151</v>
      </c>
      <c r="I1085" s="32" t="s">
        <v>120</v>
      </c>
      <c r="J1085" s="32" t="s">
        <v>1711</v>
      </c>
      <c r="K1085" s="32" t="s">
        <v>1513</v>
      </c>
      <c r="L1085" s="32" t="s">
        <v>30</v>
      </c>
      <c r="M1085" s="32" t="s">
        <v>30</v>
      </c>
      <c r="N1085" s="40">
        <v>2008</v>
      </c>
      <c r="O1085" s="32">
        <f>VLOOKUP(Data!N787, CPI!$A$2:$B$112, 2, 0)</f>
        <v>232.95699999999999</v>
      </c>
      <c r="P1085" s="32" t="s">
        <v>21</v>
      </c>
      <c r="Q1085" s="32" t="s">
        <v>250</v>
      </c>
      <c r="R1085" s="32" t="s">
        <v>1717</v>
      </c>
      <c r="S1085" s="32">
        <v>3526</v>
      </c>
      <c r="T1085" s="32" t="s">
        <v>603</v>
      </c>
      <c r="U1085" s="32">
        <f>S1085/17</f>
        <v>207.41176470588235</v>
      </c>
      <c r="V1085" s="32" t="s">
        <v>316</v>
      </c>
      <c r="X1085" s="32">
        <f t="shared" si="68"/>
        <v>207.41176470588235</v>
      </c>
      <c r="Y1085" s="32">
        <f>(CPI!$B$112/O1085)*X1085</f>
        <v>271.26698224287293</v>
      </c>
      <c r="Z1085" s="38" t="s">
        <v>262</v>
      </c>
      <c r="AA1085" s="35" t="s">
        <v>1446</v>
      </c>
      <c r="AB1085" s="32">
        <v>116400</v>
      </c>
      <c r="AH1085" s="32" t="s">
        <v>411</v>
      </c>
      <c r="AI1085" s="32" t="s">
        <v>1727</v>
      </c>
      <c r="AK1085" s="40" t="s">
        <v>1728</v>
      </c>
      <c r="AL1085" s="32">
        <v>2014</v>
      </c>
      <c r="AM1085" s="32" t="s">
        <v>1729</v>
      </c>
      <c r="AN1085" s="32" t="s">
        <v>1730</v>
      </c>
      <c r="AO1085" s="38" t="s">
        <v>1731</v>
      </c>
      <c r="AP1085" s="35" t="s">
        <v>396</v>
      </c>
    </row>
    <row r="1086" spans="1:42" x14ac:dyDescent="0.2">
      <c r="A1086" s="40">
        <v>116</v>
      </c>
      <c r="B1086" s="40">
        <v>1085</v>
      </c>
      <c r="C1086" s="40" t="s">
        <v>119</v>
      </c>
      <c r="D1086" s="38" t="s">
        <v>128</v>
      </c>
      <c r="E1086" s="32" t="s">
        <v>2183</v>
      </c>
      <c r="F1086" s="32" t="s">
        <v>126</v>
      </c>
      <c r="G1086" s="38" t="s">
        <v>152</v>
      </c>
      <c r="H1086" s="32" t="s">
        <v>151</v>
      </c>
      <c r="I1086" s="32" t="s">
        <v>120</v>
      </c>
      <c r="J1086" s="32" t="s">
        <v>1711</v>
      </c>
      <c r="K1086" s="32" t="s">
        <v>1513</v>
      </c>
      <c r="L1086" s="32" t="s">
        <v>30</v>
      </c>
      <c r="M1086" s="32" t="s">
        <v>30</v>
      </c>
      <c r="N1086" s="40">
        <v>2008</v>
      </c>
      <c r="O1086" s="32">
        <f>VLOOKUP(Data!N788, CPI!$A$2:$B$112, 2, 0)</f>
        <v>232.95699999999999</v>
      </c>
      <c r="P1086" s="32" t="s">
        <v>21</v>
      </c>
      <c r="Q1086" s="32" t="s">
        <v>250</v>
      </c>
      <c r="R1086" s="32" t="s">
        <v>1718</v>
      </c>
      <c r="S1086" s="32">
        <v>977</v>
      </c>
      <c r="T1086" s="32" t="s">
        <v>603</v>
      </c>
      <c r="U1086" s="32">
        <f>S1086/13</f>
        <v>75.15384615384616</v>
      </c>
      <c r="V1086" s="32" t="s">
        <v>316</v>
      </c>
      <c r="X1086" s="32">
        <f t="shared" si="68"/>
        <v>75.15384615384616</v>
      </c>
      <c r="Y1086" s="32">
        <f>(CPI!$B$112/O1086)*X1086</f>
        <v>98.291227978355877</v>
      </c>
      <c r="Z1086" s="38" t="s">
        <v>262</v>
      </c>
      <c r="AA1086" s="35" t="s">
        <v>1446</v>
      </c>
      <c r="AB1086" s="32">
        <v>116400</v>
      </c>
      <c r="AH1086" s="32" t="s">
        <v>411</v>
      </c>
      <c r="AI1086" s="32" t="s">
        <v>1727</v>
      </c>
      <c r="AK1086" s="40" t="s">
        <v>1728</v>
      </c>
      <c r="AL1086" s="32">
        <v>2014</v>
      </c>
      <c r="AM1086" s="32" t="s">
        <v>1729</v>
      </c>
      <c r="AN1086" s="32" t="s">
        <v>1730</v>
      </c>
      <c r="AO1086" s="38" t="s">
        <v>1731</v>
      </c>
      <c r="AP1086" s="35" t="s">
        <v>396</v>
      </c>
    </row>
    <row r="1087" spans="1:42" x14ac:dyDescent="0.2">
      <c r="A1087" s="40">
        <v>116</v>
      </c>
      <c r="B1087" s="40">
        <v>1086</v>
      </c>
      <c r="C1087" s="40" t="s">
        <v>119</v>
      </c>
      <c r="D1087" s="38" t="s">
        <v>128</v>
      </c>
      <c r="E1087" s="32" t="s">
        <v>2183</v>
      </c>
      <c r="F1087" s="32" t="s">
        <v>126</v>
      </c>
      <c r="G1087" s="38" t="s">
        <v>152</v>
      </c>
      <c r="H1087" s="32" t="s">
        <v>151</v>
      </c>
      <c r="I1087" s="32" t="s">
        <v>120</v>
      </c>
      <c r="J1087" s="32" t="s">
        <v>1711</v>
      </c>
      <c r="K1087" s="32" t="s">
        <v>1513</v>
      </c>
      <c r="L1087" s="32" t="s">
        <v>30</v>
      </c>
      <c r="M1087" s="32" t="s">
        <v>30</v>
      </c>
      <c r="N1087" s="40">
        <v>2008</v>
      </c>
      <c r="O1087" s="32">
        <f>VLOOKUP(Data!N789, CPI!$A$2:$B$112, 2, 0)</f>
        <v>218.05600000000001</v>
      </c>
      <c r="P1087" s="32" t="s">
        <v>21</v>
      </c>
      <c r="Q1087" s="32" t="s">
        <v>250</v>
      </c>
      <c r="R1087" s="32" t="s">
        <v>1719</v>
      </c>
      <c r="S1087" s="32">
        <v>385</v>
      </c>
      <c r="T1087" s="32" t="s">
        <v>603</v>
      </c>
      <c r="U1087" s="32">
        <f>S1087/11</f>
        <v>35</v>
      </c>
      <c r="V1087" s="32" t="s">
        <v>316</v>
      </c>
      <c r="X1087" s="32">
        <f t="shared" si="68"/>
        <v>35</v>
      </c>
      <c r="Y1087" s="32">
        <f>(CPI!$B$112/O1087)*X1087</f>
        <v>48.903429623582937</v>
      </c>
      <c r="Z1087" s="38" t="s">
        <v>262</v>
      </c>
      <c r="AA1087" s="35" t="s">
        <v>1446</v>
      </c>
      <c r="AB1087" s="32">
        <v>116400</v>
      </c>
      <c r="AH1087" s="32" t="s">
        <v>411</v>
      </c>
      <c r="AI1087" s="32" t="s">
        <v>1727</v>
      </c>
      <c r="AK1087" s="40" t="s">
        <v>1728</v>
      </c>
      <c r="AL1087" s="32">
        <v>2014</v>
      </c>
      <c r="AM1087" s="32" t="s">
        <v>1729</v>
      </c>
      <c r="AN1087" s="32" t="s">
        <v>1730</v>
      </c>
      <c r="AO1087" s="38" t="s">
        <v>1731</v>
      </c>
      <c r="AP1087" s="35" t="s">
        <v>396</v>
      </c>
    </row>
    <row r="1088" spans="1:42" x14ac:dyDescent="0.2">
      <c r="A1088" s="40">
        <v>116</v>
      </c>
      <c r="B1088" s="40">
        <v>1087</v>
      </c>
      <c r="C1088" s="40" t="s">
        <v>119</v>
      </c>
      <c r="D1088" s="38" t="s">
        <v>128</v>
      </c>
      <c r="E1088" s="32" t="s">
        <v>2183</v>
      </c>
      <c r="F1088" s="32" t="s">
        <v>126</v>
      </c>
      <c r="G1088" s="38" t="s">
        <v>152</v>
      </c>
      <c r="H1088" s="32" t="s">
        <v>151</v>
      </c>
      <c r="I1088" s="32" t="s">
        <v>120</v>
      </c>
      <c r="J1088" s="32" t="s">
        <v>1711</v>
      </c>
      <c r="K1088" s="32" t="s">
        <v>1513</v>
      </c>
      <c r="L1088" s="32" t="s">
        <v>30</v>
      </c>
      <c r="M1088" s="32" t="s">
        <v>30</v>
      </c>
      <c r="N1088" s="40">
        <v>2008</v>
      </c>
      <c r="O1088" s="32">
        <f>VLOOKUP(Data!N790, CPI!$A$2:$B$112, 2, 0)</f>
        <v>218.05600000000001</v>
      </c>
      <c r="P1088" s="32" t="s">
        <v>21</v>
      </c>
      <c r="Q1088" s="32" t="s">
        <v>250</v>
      </c>
      <c r="R1088" s="32" t="s">
        <v>1720</v>
      </c>
      <c r="S1088" s="32">
        <v>185</v>
      </c>
      <c r="T1088" s="32" t="s">
        <v>603</v>
      </c>
      <c r="U1088" s="32">
        <f>S1088/10</f>
        <v>18.5</v>
      </c>
      <c r="V1088" s="32" t="s">
        <v>316</v>
      </c>
      <c r="X1088" s="32">
        <f t="shared" si="68"/>
        <v>18.5</v>
      </c>
      <c r="Y1088" s="32">
        <f>(CPI!$B$112/O1088)*X1088</f>
        <v>25.848955658179552</v>
      </c>
      <c r="Z1088" s="38" t="s">
        <v>262</v>
      </c>
      <c r="AA1088" s="35" t="s">
        <v>1446</v>
      </c>
      <c r="AB1088" s="32">
        <v>116400</v>
      </c>
      <c r="AH1088" s="32" t="s">
        <v>411</v>
      </c>
      <c r="AI1088" s="32" t="s">
        <v>1727</v>
      </c>
      <c r="AK1088" s="40" t="s">
        <v>1728</v>
      </c>
      <c r="AL1088" s="32">
        <v>2014</v>
      </c>
      <c r="AM1088" s="32" t="s">
        <v>1729</v>
      </c>
      <c r="AN1088" s="32" t="s">
        <v>1730</v>
      </c>
      <c r="AO1088" s="38" t="s">
        <v>1731</v>
      </c>
      <c r="AP1088" s="35" t="s">
        <v>396</v>
      </c>
    </row>
    <row r="1089" spans="1:42" x14ac:dyDescent="0.2">
      <c r="A1089" s="40">
        <v>116</v>
      </c>
      <c r="B1089" s="40">
        <v>1088</v>
      </c>
      <c r="C1089" s="40" t="s">
        <v>119</v>
      </c>
      <c r="D1089" s="38" t="s">
        <v>128</v>
      </c>
      <c r="E1089" s="32" t="s">
        <v>2183</v>
      </c>
      <c r="F1089" s="32" t="s">
        <v>126</v>
      </c>
      <c r="G1089" s="38" t="s">
        <v>152</v>
      </c>
      <c r="H1089" s="32" t="s">
        <v>151</v>
      </c>
      <c r="I1089" s="32" t="s">
        <v>120</v>
      </c>
      <c r="J1089" s="32" t="s">
        <v>1711</v>
      </c>
      <c r="K1089" s="32" t="s">
        <v>1513</v>
      </c>
      <c r="L1089" s="32" t="s">
        <v>30</v>
      </c>
      <c r="M1089" s="32" t="s">
        <v>30</v>
      </c>
      <c r="N1089" s="40">
        <v>2008</v>
      </c>
      <c r="O1089" s="32">
        <f>VLOOKUP(Data!N791, CPI!$A$2:$B$112, 2, 0)</f>
        <v>218.05600000000001</v>
      </c>
      <c r="P1089" s="32" t="s">
        <v>21</v>
      </c>
      <c r="Q1089" s="32" t="s">
        <v>250</v>
      </c>
      <c r="R1089" s="32" t="s">
        <v>1721</v>
      </c>
      <c r="S1089" s="32">
        <v>1221</v>
      </c>
      <c r="T1089" s="32" t="s">
        <v>603</v>
      </c>
      <c r="U1089" s="32">
        <f>S1089/13.5</f>
        <v>90.444444444444443</v>
      </c>
      <c r="V1089" s="32" t="s">
        <v>316</v>
      </c>
      <c r="X1089" s="32">
        <f t="shared" si="68"/>
        <v>90.444444444444443</v>
      </c>
      <c r="Y1089" s="32">
        <f>(CPI!$B$112/O1089)*X1089</f>
        <v>126.37267210665559</v>
      </c>
      <c r="Z1089" s="38" t="s">
        <v>262</v>
      </c>
      <c r="AA1089" s="35" t="s">
        <v>1446</v>
      </c>
      <c r="AB1089" s="32">
        <v>116400</v>
      </c>
      <c r="AH1089" s="32" t="s">
        <v>411</v>
      </c>
      <c r="AI1089" s="32" t="s">
        <v>1727</v>
      </c>
      <c r="AK1089" s="40" t="s">
        <v>1728</v>
      </c>
      <c r="AL1089" s="32">
        <v>2014</v>
      </c>
      <c r="AM1089" s="32" t="s">
        <v>1729</v>
      </c>
      <c r="AN1089" s="32" t="s">
        <v>1730</v>
      </c>
      <c r="AO1089" s="38" t="s">
        <v>1731</v>
      </c>
      <c r="AP1089" s="35" t="s">
        <v>396</v>
      </c>
    </row>
    <row r="1090" spans="1:42" x14ac:dyDescent="0.2">
      <c r="A1090" s="40">
        <v>116</v>
      </c>
      <c r="B1090" s="40">
        <v>1089</v>
      </c>
      <c r="C1090" s="40" t="s">
        <v>119</v>
      </c>
      <c r="D1090" s="38" t="s">
        <v>128</v>
      </c>
      <c r="E1090" s="32" t="s">
        <v>2186</v>
      </c>
      <c r="F1090" s="32" t="s">
        <v>29</v>
      </c>
      <c r="G1090" s="38" t="s">
        <v>29</v>
      </c>
      <c r="H1090" s="32" t="s">
        <v>151</v>
      </c>
      <c r="I1090" s="32" t="s">
        <v>120</v>
      </c>
      <c r="J1090" s="32" t="s">
        <v>1711</v>
      </c>
      <c r="K1090" s="32" t="s">
        <v>1513</v>
      </c>
      <c r="L1090" s="32" t="s">
        <v>30</v>
      </c>
      <c r="M1090" s="32" t="s">
        <v>30</v>
      </c>
      <c r="N1090" s="40">
        <v>2008</v>
      </c>
      <c r="O1090" s="32">
        <f>VLOOKUP(Data!N792, CPI!$A$2:$B$112, 2, 0)</f>
        <v>224.93899999999999</v>
      </c>
      <c r="P1090" s="32" t="s">
        <v>21</v>
      </c>
      <c r="Q1090" s="32" t="s">
        <v>250</v>
      </c>
      <c r="R1090" s="32" t="s">
        <v>1722</v>
      </c>
      <c r="S1090" s="32">
        <v>4450</v>
      </c>
      <c r="T1090" s="32" t="s">
        <v>603</v>
      </c>
      <c r="U1090" s="32">
        <f>S1090/17</f>
        <v>261.76470588235293</v>
      </c>
      <c r="V1090" s="32" t="s">
        <v>316</v>
      </c>
      <c r="X1090" s="32">
        <f t="shared" si="68"/>
        <v>261.76470588235293</v>
      </c>
      <c r="Y1090" s="32">
        <f>(CPI!$B$112/O1090)*X1090</f>
        <v>354.55665692895042</v>
      </c>
      <c r="Z1090" s="38" t="s">
        <v>262</v>
      </c>
      <c r="AA1090" s="35" t="s">
        <v>1446</v>
      </c>
      <c r="AB1090" s="32">
        <v>116400</v>
      </c>
      <c r="AH1090" s="32" t="s">
        <v>411</v>
      </c>
      <c r="AI1090" s="32" t="s">
        <v>1727</v>
      </c>
      <c r="AK1090" s="40" t="s">
        <v>1728</v>
      </c>
      <c r="AL1090" s="32">
        <v>2014</v>
      </c>
      <c r="AM1090" s="32" t="s">
        <v>1729</v>
      </c>
      <c r="AN1090" s="32" t="s">
        <v>1730</v>
      </c>
      <c r="AO1090" s="38" t="s">
        <v>1731</v>
      </c>
      <c r="AP1090" s="35" t="s">
        <v>396</v>
      </c>
    </row>
    <row r="1091" spans="1:42" x14ac:dyDescent="0.2">
      <c r="A1091" s="40">
        <v>116</v>
      </c>
      <c r="B1091" s="40">
        <v>1090</v>
      </c>
      <c r="C1091" s="40" t="s">
        <v>119</v>
      </c>
      <c r="D1091" s="38" t="s">
        <v>128</v>
      </c>
      <c r="E1091" s="32" t="s">
        <v>2186</v>
      </c>
      <c r="F1091" s="32" t="s">
        <v>29</v>
      </c>
      <c r="G1091" s="38" t="s">
        <v>29</v>
      </c>
      <c r="H1091" s="32" t="s">
        <v>151</v>
      </c>
      <c r="I1091" s="32" t="s">
        <v>120</v>
      </c>
      <c r="J1091" s="32" t="s">
        <v>1711</v>
      </c>
      <c r="K1091" s="32" t="s">
        <v>1513</v>
      </c>
      <c r="L1091" s="32" t="s">
        <v>30</v>
      </c>
      <c r="M1091" s="32" t="s">
        <v>30</v>
      </c>
      <c r="N1091" s="40">
        <v>2008</v>
      </c>
      <c r="O1091" s="32">
        <f>VLOOKUP(Data!N793, CPI!$A$2:$B$112, 2, 0)</f>
        <v>229.59399999999999</v>
      </c>
      <c r="P1091" s="32" t="s">
        <v>21</v>
      </c>
      <c r="Q1091" s="32" t="s">
        <v>250</v>
      </c>
      <c r="R1091" s="32" t="s">
        <v>1723</v>
      </c>
      <c r="S1091" s="32">
        <v>1418</v>
      </c>
      <c r="T1091" s="32" t="s">
        <v>603</v>
      </c>
      <c r="U1091" s="32">
        <f>S1091/13</f>
        <v>109.07692307692308</v>
      </c>
      <c r="V1091" s="32" t="s">
        <v>316</v>
      </c>
      <c r="X1091" s="32">
        <f t="shared" si="68"/>
        <v>109.07692307692308</v>
      </c>
      <c r="Y1091" s="32">
        <f>(CPI!$B$112/O1091)*X1091</f>
        <v>144.74769559778099</v>
      </c>
      <c r="Z1091" s="38" t="s">
        <v>262</v>
      </c>
      <c r="AA1091" s="35" t="s">
        <v>1446</v>
      </c>
      <c r="AB1091" s="32">
        <v>116400</v>
      </c>
      <c r="AH1091" s="32" t="s">
        <v>411</v>
      </c>
      <c r="AI1091" s="32" t="s">
        <v>1727</v>
      </c>
      <c r="AK1091" s="40" t="s">
        <v>1728</v>
      </c>
      <c r="AL1091" s="32">
        <v>2014</v>
      </c>
      <c r="AM1091" s="32" t="s">
        <v>1729</v>
      </c>
      <c r="AN1091" s="32" t="s">
        <v>1730</v>
      </c>
      <c r="AO1091" s="38" t="s">
        <v>1731</v>
      </c>
      <c r="AP1091" s="35" t="s">
        <v>396</v>
      </c>
    </row>
    <row r="1092" spans="1:42" x14ac:dyDescent="0.2">
      <c r="A1092" s="40">
        <v>116</v>
      </c>
      <c r="B1092" s="40">
        <v>1091</v>
      </c>
      <c r="C1092" s="40" t="s">
        <v>119</v>
      </c>
      <c r="D1092" s="38" t="s">
        <v>128</v>
      </c>
      <c r="E1092" s="32" t="s">
        <v>2186</v>
      </c>
      <c r="F1092" s="32" t="s">
        <v>29</v>
      </c>
      <c r="G1092" s="38" t="s">
        <v>29</v>
      </c>
      <c r="H1092" s="32" t="s">
        <v>151</v>
      </c>
      <c r="I1092" s="32" t="s">
        <v>120</v>
      </c>
      <c r="J1092" s="32" t="s">
        <v>1711</v>
      </c>
      <c r="K1092" s="32" t="s">
        <v>1513</v>
      </c>
      <c r="L1092" s="32" t="s">
        <v>30</v>
      </c>
      <c r="M1092" s="32" t="s">
        <v>30</v>
      </c>
      <c r="N1092" s="40">
        <v>2008</v>
      </c>
      <c r="O1092" s="32">
        <f>VLOOKUP(Data!N794, CPI!$A$2:$B$112, 2, 0)</f>
        <v>232.95699999999999</v>
      </c>
      <c r="P1092" s="32" t="s">
        <v>21</v>
      </c>
      <c r="Q1092" s="32" t="s">
        <v>250</v>
      </c>
      <c r="R1092" s="32" t="s">
        <v>1724</v>
      </c>
      <c r="S1092" s="32">
        <v>689</v>
      </c>
      <c r="T1092" s="32" t="s">
        <v>603</v>
      </c>
      <c r="U1092" s="32">
        <f>S1092/11</f>
        <v>62.636363636363633</v>
      </c>
      <c r="V1092" s="32" t="s">
        <v>316</v>
      </c>
      <c r="X1092" s="32">
        <f t="shared" si="68"/>
        <v>62.636363636363633</v>
      </c>
      <c r="Y1092" s="32">
        <f>(CPI!$B$112/O1092)*X1092</f>
        <v>81.920026891423973</v>
      </c>
      <c r="Z1092" s="38" t="s">
        <v>262</v>
      </c>
      <c r="AA1092" s="35" t="s">
        <v>1446</v>
      </c>
      <c r="AB1092" s="32">
        <v>116400</v>
      </c>
      <c r="AH1092" s="32" t="s">
        <v>411</v>
      </c>
      <c r="AI1092" s="32" t="s">
        <v>1727</v>
      </c>
      <c r="AK1092" s="40" t="s">
        <v>1728</v>
      </c>
      <c r="AL1092" s="32">
        <v>2014</v>
      </c>
      <c r="AM1092" s="32" t="s">
        <v>1729</v>
      </c>
      <c r="AN1092" s="32" t="s">
        <v>1730</v>
      </c>
      <c r="AO1092" s="38" t="s">
        <v>1731</v>
      </c>
      <c r="AP1092" s="35" t="s">
        <v>396</v>
      </c>
    </row>
    <row r="1093" spans="1:42" x14ac:dyDescent="0.2">
      <c r="A1093" s="40">
        <v>116</v>
      </c>
      <c r="B1093" s="40">
        <v>1092</v>
      </c>
      <c r="C1093" s="40" t="s">
        <v>119</v>
      </c>
      <c r="D1093" s="38" t="s">
        <v>128</v>
      </c>
      <c r="E1093" s="32" t="s">
        <v>2186</v>
      </c>
      <c r="F1093" s="32" t="s">
        <v>29</v>
      </c>
      <c r="G1093" s="38" t="s">
        <v>29</v>
      </c>
      <c r="H1093" s="32" t="s">
        <v>151</v>
      </c>
      <c r="I1093" s="32" t="s">
        <v>120</v>
      </c>
      <c r="J1093" s="32" t="s">
        <v>1711</v>
      </c>
      <c r="K1093" s="32" t="s">
        <v>1513</v>
      </c>
      <c r="L1093" s="32" t="s">
        <v>30</v>
      </c>
      <c r="M1093" s="32" t="s">
        <v>30</v>
      </c>
      <c r="N1093" s="40">
        <v>2008</v>
      </c>
      <c r="O1093" s="32">
        <f>VLOOKUP(Data!N795, CPI!$A$2:$B$112, 2, 0)</f>
        <v>236.73599999999999</v>
      </c>
      <c r="P1093" s="32" t="s">
        <v>21</v>
      </c>
      <c r="Q1093" s="32" t="s">
        <v>250</v>
      </c>
      <c r="R1093" s="32" t="s">
        <v>1725</v>
      </c>
      <c r="S1093" s="32">
        <v>431</v>
      </c>
      <c r="T1093" s="32" t="s">
        <v>603</v>
      </c>
      <c r="U1093" s="32">
        <f>S1093/10</f>
        <v>43.1</v>
      </c>
      <c r="V1093" s="32" t="s">
        <v>316</v>
      </c>
      <c r="X1093" s="32">
        <f t="shared" si="68"/>
        <v>43.1</v>
      </c>
      <c r="Y1093" s="32">
        <f>(CPI!$B$112/O1093)*X1093</f>
        <v>55.469248128717233</v>
      </c>
      <c r="Z1093" s="38" t="s">
        <v>262</v>
      </c>
      <c r="AA1093" s="35" t="s">
        <v>1446</v>
      </c>
      <c r="AB1093" s="32">
        <v>116400</v>
      </c>
      <c r="AH1093" s="32" t="s">
        <v>411</v>
      </c>
      <c r="AI1093" s="32" t="s">
        <v>1727</v>
      </c>
      <c r="AK1093" s="40" t="s">
        <v>1728</v>
      </c>
      <c r="AL1093" s="32">
        <v>2014</v>
      </c>
      <c r="AM1093" s="32" t="s">
        <v>1729</v>
      </c>
      <c r="AN1093" s="32" t="s">
        <v>1730</v>
      </c>
      <c r="AO1093" s="38" t="s">
        <v>1731</v>
      </c>
      <c r="AP1093" s="35" t="s">
        <v>396</v>
      </c>
    </row>
    <row r="1094" spans="1:42" x14ac:dyDescent="0.2">
      <c r="A1094" s="40">
        <v>116</v>
      </c>
      <c r="B1094" s="40">
        <v>1093</v>
      </c>
      <c r="C1094" s="40" t="s">
        <v>119</v>
      </c>
      <c r="D1094" s="38" t="s">
        <v>128</v>
      </c>
      <c r="E1094" s="32" t="s">
        <v>2186</v>
      </c>
      <c r="F1094" s="32" t="s">
        <v>29</v>
      </c>
      <c r="G1094" s="38" t="s">
        <v>29</v>
      </c>
      <c r="H1094" s="32" t="s">
        <v>151</v>
      </c>
      <c r="I1094" s="32" t="s">
        <v>120</v>
      </c>
      <c r="J1094" s="32" t="s">
        <v>1711</v>
      </c>
      <c r="K1094" s="32" t="s">
        <v>1513</v>
      </c>
      <c r="L1094" s="32" t="s">
        <v>30</v>
      </c>
      <c r="M1094" s="32" t="s">
        <v>30</v>
      </c>
      <c r="N1094" s="40">
        <v>2008</v>
      </c>
      <c r="O1094" s="32">
        <f>VLOOKUP(Data!N796, CPI!$A$2:$B$112, 2, 0)</f>
        <v>236.73599999999999</v>
      </c>
      <c r="P1094" s="32" t="s">
        <v>21</v>
      </c>
      <c r="Q1094" s="32" t="s">
        <v>250</v>
      </c>
      <c r="R1094" s="32" t="s">
        <v>1726</v>
      </c>
      <c r="S1094" s="32">
        <v>1701</v>
      </c>
      <c r="T1094" s="32" t="s">
        <v>603</v>
      </c>
      <c r="U1094" s="32">
        <f>S1094/13.5</f>
        <v>126</v>
      </c>
      <c r="V1094" s="32" t="s">
        <v>316</v>
      </c>
      <c r="X1094" s="32">
        <f t="shared" si="68"/>
        <v>126</v>
      </c>
      <c r="Y1094" s="32">
        <f>(CPI!$B$112/O1094)*X1094</f>
        <v>162.16067898418495</v>
      </c>
      <c r="Z1094" s="38" t="s">
        <v>262</v>
      </c>
      <c r="AA1094" s="35" t="s">
        <v>1446</v>
      </c>
      <c r="AB1094" s="32">
        <v>116400</v>
      </c>
      <c r="AH1094" s="32" t="s">
        <v>411</v>
      </c>
      <c r="AI1094" s="32" t="s">
        <v>1727</v>
      </c>
      <c r="AK1094" s="40" t="s">
        <v>1728</v>
      </c>
      <c r="AL1094" s="32">
        <v>2014</v>
      </c>
      <c r="AM1094" s="32" t="s">
        <v>1729</v>
      </c>
      <c r="AN1094" s="32" t="s">
        <v>1730</v>
      </c>
      <c r="AO1094" s="38" t="s">
        <v>1731</v>
      </c>
      <c r="AP1094" s="35" t="s">
        <v>396</v>
      </c>
    </row>
    <row r="1095" spans="1:42" x14ac:dyDescent="0.2">
      <c r="A1095" s="40">
        <v>117</v>
      </c>
      <c r="B1095" s="40">
        <v>1094</v>
      </c>
      <c r="C1095" s="40" t="s">
        <v>114</v>
      </c>
      <c r="D1095" s="38" t="s">
        <v>218</v>
      </c>
      <c r="E1095" s="32" t="s">
        <v>2183</v>
      </c>
      <c r="F1095" s="32" t="s">
        <v>237</v>
      </c>
      <c r="G1095" s="38" t="s">
        <v>154</v>
      </c>
      <c r="H1095" s="32" t="s">
        <v>242</v>
      </c>
      <c r="I1095" s="32" t="s">
        <v>120</v>
      </c>
      <c r="J1095" s="32" t="s">
        <v>1732</v>
      </c>
      <c r="K1095" s="32" t="s">
        <v>1513</v>
      </c>
      <c r="L1095" s="32" t="s">
        <v>30</v>
      </c>
      <c r="M1095" s="32" t="s">
        <v>30</v>
      </c>
      <c r="N1095" s="40">
        <v>2013</v>
      </c>
      <c r="O1095" s="32">
        <f>VLOOKUP(Data!N797, CPI!$A$2:$B$112, 2, 0)</f>
        <v>229.59399999999999</v>
      </c>
      <c r="P1095" s="32" t="s">
        <v>238</v>
      </c>
      <c r="Q1095" s="32" t="s">
        <v>250</v>
      </c>
      <c r="R1095" s="32" t="s">
        <v>1733</v>
      </c>
      <c r="S1095" s="32">
        <v>262000</v>
      </c>
      <c r="T1095" s="32" t="s">
        <v>603</v>
      </c>
      <c r="U1095" s="32">
        <v>262000</v>
      </c>
      <c r="V1095" s="32" t="s">
        <v>316</v>
      </c>
      <c r="X1095" s="32">
        <f t="shared" si="68"/>
        <v>262000</v>
      </c>
      <c r="Y1095" s="32">
        <f>(CPI!$B$112/O1095)*X1095</f>
        <v>347680.2899901566</v>
      </c>
      <c r="Z1095" s="38" t="s">
        <v>262</v>
      </c>
      <c r="AA1095" s="35" t="s">
        <v>1412</v>
      </c>
      <c r="AB1095" s="32">
        <v>3</v>
      </c>
      <c r="AC1095" s="32" t="s">
        <v>1425</v>
      </c>
      <c r="AK1095" s="40" t="s">
        <v>1737</v>
      </c>
      <c r="AL1095" s="32">
        <v>2016</v>
      </c>
      <c r="AM1095" s="32" t="s">
        <v>1738</v>
      </c>
      <c r="AN1095" s="32" t="s">
        <v>1739</v>
      </c>
      <c r="AO1095" s="38" t="s">
        <v>1740</v>
      </c>
      <c r="AP1095" s="35" t="s">
        <v>396</v>
      </c>
    </row>
    <row r="1096" spans="1:42" x14ac:dyDescent="0.2">
      <c r="A1096" s="40">
        <v>117</v>
      </c>
      <c r="B1096" s="40">
        <v>1095</v>
      </c>
      <c r="C1096" s="40" t="s">
        <v>114</v>
      </c>
      <c r="D1096" s="38" t="s">
        <v>218</v>
      </c>
      <c r="E1096" s="32" t="s">
        <v>2183</v>
      </c>
      <c r="F1096" s="32" t="s">
        <v>237</v>
      </c>
      <c r="G1096" s="38" t="s">
        <v>154</v>
      </c>
      <c r="H1096" s="32" t="s">
        <v>242</v>
      </c>
      <c r="I1096" s="32" t="s">
        <v>120</v>
      </c>
      <c r="J1096" s="32" t="s">
        <v>1732</v>
      </c>
      <c r="K1096" s="32" t="s">
        <v>1513</v>
      </c>
      <c r="L1096" s="32" t="s">
        <v>30</v>
      </c>
      <c r="M1096" s="32" t="s">
        <v>30</v>
      </c>
      <c r="N1096" s="40">
        <v>2013</v>
      </c>
      <c r="O1096" s="32">
        <f>VLOOKUP(Data!N798, CPI!$A$2:$B$112, 2, 0)</f>
        <v>232.95699999999999</v>
      </c>
      <c r="P1096" s="32" t="s">
        <v>238</v>
      </c>
      <c r="Q1096" s="32" t="s">
        <v>250</v>
      </c>
      <c r="R1096" s="32" t="s">
        <v>1734</v>
      </c>
      <c r="S1096" s="32">
        <v>589000</v>
      </c>
      <c r="T1096" s="32" t="s">
        <v>603</v>
      </c>
      <c r="U1096" s="32">
        <v>589000</v>
      </c>
      <c r="V1096" s="32" t="s">
        <v>316</v>
      </c>
      <c r="X1096" s="32">
        <f t="shared" si="68"/>
        <v>589000</v>
      </c>
      <c r="Y1096" s="32">
        <f>(CPI!$B$112/O1096)*X1096</f>
        <v>770333.60555810737</v>
      </c>
      <c r="Z1096" s="38" t="s">
        <v>262</v>
      </c>
      <c r="AA1096" s="35" t="s">
        <v>1412</v>
      </c>
      <c r="AB1096" s="32" t="s">
        <v>2604</v>
      </c>
      <c r="AC1096" s="32" t="s">
        <v>1425</v>
      </c>
      <c r="AK1096" s="40" t="s">
        <v>1737</v>
      </c>
      <c r="AL1096" s="32">
        <v>2016</v>
      </c>
      <c r="AM1096" s="32" t="s">
        <v>1738</v>
      </c>
      <c r="AN1096" s="32" t="s">
        <v>1739</v>
      </c>
      <c r="AO1096" s="38" t="s">
        <v>1740</v>
      </c>
      <c r="AP1096" s="35" t="s">
        <v>396</v>
      </c>
    </row>
    <row r="1097" spans="1:42" x14ac:dyDescent="0.2">
      <c r="A1097" s="40">
        <v>117</v>
      </c>
      <c r="B1097" s="40">
        <v>1096</v>
      </c>
      <c r="C1097" s="40" t="s">
        <v>114</v>
      </c>
      <c r="D1097" s="38" t="s">
        <v>218</v>
      </c>
      <c r="E1097" s="32" t="s">
        <v>2183</v>
      </c>
      <c r="F1097" s="32" t="s">
        <v>237</v>
      </c>
      <c r="G1097" s="38" t="s">
        <v>154</v>
      </c>
      <c r="H1097" s="32" t="s">
        <v>242</v>
      </c>
      <c r="I1097" s="32" t="s">
        <v>120</v>
      </c>
      <c r="J1097" s="32" t="s">
        <v>1732</v>
      </c>
      <c r="K1097" s="32" t="s">
        <v>1513</v>
      </c>
      <c r="L1097" s="32" t="s">
        <v>30</v>
      </c>
      <c r="M1097" s="32" t="s">
        <v>30</v>
      </c>
      <c r="N1097" s="40">
        <v>2013</v>
      </c>
      <c r="O1097" s="32">
        <f>VLOOKUP(Data!N799, CPI!$A$2:$B$112, 2, 0)</f>
        <v>232.95699999999999</v>
      </c>
      <c r="P1097" s="32" t="s">
        <v>238</v>
      </c>
      <c r="Q1097" s="32" t="s">
        <v>250</v>
      </c>
      <c r="R1097" s="32" t="s">
        <v>1735</v>
      </c>
      <c r="S1097" s="32">
        <v>539000</v>
      </c>
      <c r="T1097" s="32" t="s">
        <v>603</v>
      </c>
      <c r="U1097" s="32">
        <v>539000</v>
      </c>
      <c r="V1097" s="32" t="s">
        <v>316</v>
      </c>
      <c r="X1097" s="32">
        <f t="shared" si="68"/>
        <v>539000</v>
      </c>
      <c r="Y1097" s="32">
        <f>(CPI!$B$112/O1097)*X1097</f>
        <v>704940.26043432916</v>
      </c>
      <c r="Z1097" s="38" t="s">
        <v>262</v>
      </c>
      <c r="AA1097" s="35" t="s">
        <v>1412</v>
      </c>
      <c r="AB1097" s="32">
        <v>3</v>
      </c>
      <c r="AC1097" s="32" t="s">
        <v>1425</v>
      </c>
      <c r="AK1097" s="40" t="s">
        <v>1737</v>
      </c>
      <c r="AL1097" s="32">
        <v>2016</v>
      </c>
      <c r="AM1097" s="32" t="s">
        <v>1738</v>
      </c>
      <c r="AN1097" s="32" t="s">
        <v>1739</v>
      </c>
      <c r="AO1097" s="38" t="s">
        <v>1740</v>
      </c>
      <c r="AP1097" s="35" t="s">
        <v>396</v>
      </c>
    </row>
    <row r="1098" spans="1:42" x14ac:dyDescent="0.2">
      <c r="A1098" s="40">
        <v>117</v>
      </c>
      <c r="B1098" s="40">
        <v>1097</v>
      </c>
      <c r="C1098" s="40" t="s">
        <v>114</v>
      </c>
      <c r="D1098" s="38" t="s">
        <v>218</v>
      </c>
      <c r="E1098" s="32" t="s">
        <v>2183</v>
      </c>
      <c r="F1098" s="32" t="s">
        <v>237</v>
      </c>
      <c r="G1098" s="38" t="s">
        <v>154</v>
      </c>
      <c r="H1098" s="32" t="s">
        <v>242</v>
      </c>
      <c r="I1098" s="32" t="s">
        <v>120</v>
      </c>
      <c r="J1098" s="32" t="s">
        <v>1732</v>
      </c>
      <c r="K1098" s="32" t="s">
        <v>1513</v>
      </c>
      <c r="L1098" s="32" t="s">
        <v>30</v>
      </c>
      <c r="M1098" s="32" t="s">
        <v>30</v>
      </c>
      <c r="N1098" s="40">
        <v>2013</v>
      </c>
      <c r="O1098" s="32">
        <f>VLOOKUP(Data!N800, CPI!$A$2:$B$112, 2, 0)</f>
        <v>232.95699999999999</v>
      </c>
      <c r="P1098" s="32" t="s">
        <v>238</v>
      </c>
      <c r="Q1098" s="32" t="s">
        <v>250</v>
      </c>
      <c r="R1098" s="32" t="s">
        <v>1736</v>
      </c>
      <c r="S1098" s="32">
        <v>916000</v>
      </c>
      <c r="T1098" s="32" t="s">
        <v>603</v>
      </c>
      <c r="U1098" s="32">
        <v>916000</v>
      </c>
      <c r="V1098" s="32" t="s">
        <v>316</v>
      </c>
      <c r="X1098" s="32">
        <f t="shared" si="68"/>
        <v>916000</v>
      </c>
      <c r="Y1098" s="32">
        <f>(CPI!$B$112/O1098)*X1098</f>
        <v>1198006.0826676169</v>
      </c>
      <c r="Z1098" s="38" t="s">
        <v>262</v>
      </c>
      <c r="AA1098" s="35" t="s">
        <v>1412</v>
      </c>
      <c r="AB1098" s="32" t="s">
        <v>2604</v>
      </c>
      <c r="AC1098" s="32" t="s">
        <v>1425</v>
      </c>
      <c r="AK1098" s="40" t="s">
        <v>1737</v>
      </c>
      <c r="AL1098" s="32">
        <v>2016</v>
      </c>
      <c r="AM1098" s="32" t="s">
        <v>1738</v>
      </c>
      <c r="AN1098" s="32" t="s">
        <v>1739</v>
      </c>
      <c r="AO1098" s="38" t="s">
        <v>1740</v>
      </c>
      <c r="AP1098" s="35" t="s">
        <v>396</v>
      </c>
    </row>
    <row r="1099" spans="1:42" x14ac:dyDescent="0.2">
      <c r="A1099" s="40">
        <v>117</v>
      </c>
      <c r="B1099" s="40">
        <v>1098</v>
      </c>
      <c r="C1099" s="40" t="s">
        <v>114</v>
      </c>
      <c r="D1099" s="38" t="s">
        <v>218</v>
      </c>
      <c r="E1099" s="32" t="s">
        <v>2183</v>
      </c>
      <c r="F1099" s="32" t="s">
        <v>237</v>
      </c>
      <c r="G1099" s="38" t="s">
        <v>154</v>
      </c>
      <c r="H1099" s="32" t="s">
        <v>242</v>
      </c>
      <c r="I1099" s="32" t="s">
        <v>120</v>
      </c>
      <c r="J1099" s="32" t="s">
        <v>1732</v>
      </c>
      <c r="K1099" s="32" t="s">
        <v>1513</v>
      </c>
      <c r="L1099" s="32" t="s">
        <v>30</v>
      </c>
      <c r="M1099" s="32" t="s">
        <v>30</v>
      </c>
      <c r="N1099" s="40">
        <v>2013</v>
      </c>
      <c r="O1099" s="32">
        <f>VLOOKUP(Data!N801, CPI!$A$2:$B$112, 2, 0)</f>
        <v>232.95699999999999</v>
      </c>
      <c r="P1099" s="32" t="s">
        <v>7</v>
      </c>
      <c r="Q1099" s="32" t="s">
        <v>239</v>
      </c>
      <c r="R1099" s="32" t="s">
        <v>2600</v>
      </c>
      <c r="S1099" s="32">
        <v>97000</v>
      </c>
      <c r="T1099" s="32" t="s">
        <v>316</v>
      </c>
      <c r="U1099" s="32">
        <v>97000</v>
      </c>
      <c r="V1099" s="32" t="s">
        <v>316</v>
      </c>
      <c r="X1099" s="32">
        <f t="shared" si="68"/>
        <v>97000</v>
      </c>
      <c r="Y1099" s="32">
        <f>(CPI!$B$112/O1099)*X1099</f>
        <v>126863.08954012973</v>
      </c>
      <c r="Z1099" s="38" t="s">
        <v>262</v>
      </c>
      <c r="AA1099" s="35" t="s">
        <v>1412</v>
      </c>
      <c r="AB1099" s="32">
        <v>3</v>
      </c>
      <c r="AC1099" s="32" t="s">
        <v>1425</v>
      </c>
      <c r="AH1099" s="32" t="s">
        <v>411</v>
      </c>
      <c r="AK1099" s="40" t="s">
        <v>1737</v>
      </c>
      <c r="AL1099" s="32">
        <v>2016</v>
      </c>
      <c r="AM1099" s="32" t="s">
        <v>1738</v>
      </c>
      <c r="AN1099" s="32" t="s">
        <v>1739</v>
      </c>
      <c r="AO1099" s="38" t="s">
        <v>1740</v>
      </c>
      <c r="AP1099" s="35" t="s">
        <v>396</v>
      </c>
    </row>
    <row r="1100" spans="1:42" x14ac:dyDescent="0.2">
      <c r="A1100" s="40">
        <v>117</v>
      </c>
      <c r="B1100" s="40">
        <v>1099</v>
      </c>
      <c r="C1100" s="40" t="s">
        <v>114</v>
      </c>
      <c r="D1100" s="38" t="s">
        <v>218</v>
      </c>
      <c r="E1100" s="32" t="s">
        <v>2183</v>
      </c>
      <c r="F1100" s="32" t="s">
        <v>237</v>
      </c>
      <c r="G1100" s="38" t="s">
        <v>154</v>
      </c>
      <c r="H1100" s="32" t="s">
        <v>242</v>
      </c>
      <c r="I1100" s="32" t="s">
        <v>120</v>
      </c>
      <c r="J1100" s="32" t="s">
        <v>1732</v>
      </c>
      <c r="K1100" s="32" t="s">
        <v>1513</v>
      </c>
      <c r="L1100" s="32" t="s">
        <v>30</v>
      </c>
      <c r="M1100" s="32" t="s">
        <v>30</v>
      </c>
      <c r="N1100" s="40">
        <v>2013</v>
      </c>
      <c r="O1100" s="32">
        <f>VLOOKUP(Data!N802, CPI!$A$2:$B$112, 2, 0)</f>
        <v>232.95699999999999</v>
      </c>
      <c r="P1100" s="32" t="s">
        <v>7</v>
      </c>
      <c r="Q1100" s="32" t="s">
        <v>239</v>
      </c>
      <c r="R1100" s="32" t="s">
        <v>2601</v>
      </c>
      <c r="S1100" s="32">
        <v>177000</v>
      </c>
      <c r="T1100" s="32" t="s">
        <v>316</v>
      </c>
      <c r="U1100" s="32">
        <v>177000</v>
      </c>
      <c r="V1100" s="32" t="s">
        <v>316</v>
      </c>
      <c r="X1100" s="32">
        <f t="shared" si="68"/>
        <v>177000</v>
      </c>
      <c r="Y1100" s="32">
        <f>(CPI!$B$112/O1100)*X1100</f>
        <v>231492.44173817488</v>
      </c>
      <c r="Z1100" s="38" t="s">
        <v>262</v>
      </c>
      <c r="AA1100" s="35" t="s">
        <v>1412</v>
      </c>
      <c r="AB1100" s="32" t="s">
        <v>2604</v>
      </c>
      <c r="AC1100" s="32" t="s">
        <v>1425</v>
      </c>
      <c r="AH1100" s="32" t="s">
        <v>411</v>
      </c>
      <c r="AK1100" s="40" t="s">
        <v>1737</v>
      </c>
      <c r="AL1100" s="32">
        <v>2016</v>
      </c>
      <c r="AM1100" s="32" t="s">
        <v>1738</v>
      </c>
      <c r="AN1100" s="32" t="s">
        <v>1739</v>
      </c>
      <c r="AO1100" s="38" t="s">
        <v>1740</v>
      </c>
      <c r="AP1100" s="35" t="s">
        <v>396</v>
      </c>
    </row>
    <row r="1101" spans="1:42" x14ac:dyDescent="0.2">
      <c r="A1101" s="40">
        <v>117</v>
      </c>
      <c r="B1101" s="40">
        <v>1100</v>
      </c>
      <c r="C1101" s="40" t="s">
        <v>114</v>
      </c>
      <c r="D1101" s="38" t="s">
        <v>218</v>
      </c>
      <c r="E1101" s="32" t="s">
        <v>2183</v>
      </c>
      <c r="F1101" s="32" t="s">
        <v>237</v>
      </c>
      <c r="G1101" s="38" t="s">
        <v>154</v>
      </c>
      <c r="H1101" s="32" t="s">
        <v>242</v>
      </c>
      <c r="I1101" s="32" t="s">
        <v>120</v>
      </c>
      <c r="J1101" s="32" t="s">
        <v>1732</v>
      </c>
      <c r="K1101" s="32" t="s">
        <v>1513</v>
      </c>
      <c r="L1101" s="32" t="s">
        <v>30</v>
      </c>
      <c r="M1101" s="32" t="s">
        <v>30</v>
      </c>
      <c r="N1101" s="40">
        <v>2013</v>
      </c>
      <c r="O1101" s="32">
        <f>VLOOKUP(Data!N803, CPI!$A$2:$B$112, 2, 0)</f>
        <v>232.95699999999999</v>
      </c>
      <c r="P1101" s="32" t="s">
        <v>7</v>
      </c>
      <c r="Q1101" s="32" t="s">
        <v>239</v>
      </c>
      <c r="R1101" s="32" t="s">
        <v>2602</v>
      </c>
      <c r="S1101" s="32">
        <v>228000</v>
      </c>
      <c r="T1101" s="32" t="s">
        <v>316</v>
      </c>
      <c r="U1101" s="32">
        <v>228000</v>
      </c>
      <c r="V1101" s="32" t="s">
        <v>316</v>
      </c>
      <c r="X1101" s="32">
        <f t="shared" si="68"/>
        <v>228000</v>
      </c>
      <c r="Y1101" s="32">
        <f>(CPI!$B$112/O1101)*X1101</f>
        <v>298193.65376442863</v>
      </c>
      <c r="Z1101" s="38" t="s">
        <v>262</v>
      </c>
      <c r="AA1101" s="35" t="s">
        <v>1412</v>
      </c>
      <c r="AB1101" s="32">
        <v>3</v>
      </c>
      <c r="AC1101" s="32" t="s">
        <v>1425</v>
      </c>
      <c r="AH1101" s="32" t="s">
        <v>411</v>
      </c>
      <c r="AK1101" s="40" t="s">
        <v>1737</v>
      </c>
      <c r="AL1101" s="32">
        <v>2016</v>
      </c>
      <c r="AM1101" s="32" t="s">
        <v>1738</v>
      </c>
      <c r="AN1101" s="32" t="s">
        <v>1739</v>
      </c>
      <c r="AO1101" s="38" t="s">
        <v>1740</v>
      </c>
      <c r="AP1101" s="35" t="s">
        <v>396</v>
      </c>
    </row>
    <row r="1102" spans="1:42" x14ac:dyDescent="0.2">
      <c r="A1102" s="40">
        <v>117</v>
      </c>
      <c r="B1102" s="40">
        <v>1101</v>
      </c>
      <c r="C1102" s="40" t="s">
        <v>114</v>
      </c>
      <c r="D1102" s="38" t="s">
        <v>218</v>
      </c>
      <c r="E1102" s="32" t="s">
        <v>2183</v>
      </c>
      <c r="F1102" s="32" t="s">
        <v>237</v>
      </c>
      <c r="G1102" s="38" t="s">
        <v>154</v>
      </c>
      <c r="H1102" s="32" t="s">
        <v>242</v>
      </c>
      <c r="I1102" s="32" t="s">
        <v>120</v>
      </c>
      <c r="J1102" s="32" t="s">
        <v>1732</v>
      </c>
      <c r="K1102" s="32" t="s">
        <v>1513</v>
      </c>
      <c r="L1102" s="32" t="s">
        <v>30</v>
      </c>
      <c r="M1102" s="32" t="s">
        <v>30</v>
      </c>
      <c r="N1102" s="40">
        <v>2013</v>
      </c>
      <c r="O1102" s="32">
        <f>VLOOKUP(Data!N804, CPI!$A$2:$B$112, 2, 0)</f>
        <v>232.95699999999999</v>
      </c>
      <c r="P1102" s="32" t="s">
        <v>7</v>
      </c>
      <c r="Q1102" s="32" t="s">
        <v>239</v>
      </c>
      <c r="R1102" s="32" t="s">
        <v>2603</v>
      </c>
      <c r="S1102" s="32">
        <v>306000</v>
      </c>
      <c r="T1102" s="32" t="s">
        <v>316</v>
      </c>
      <c r="U1102" s="32">
        <v>306000</v>
      </c>
      <c r="V1102" s="32" t="s">
        <v>316</v>
      </c>
      <c r="X1102" s="32">
        <f t="shared" si="68"/>
        <v>306000</v>
      </c>
      <c r="Y1102" s="32">
        <f>(CPI!$B$112/O1102)*X1102</f>
        <v>400207.27215752268</v>
      </c>
      <c r="Z1102" s="38" t="s">
        <v>262</v>
      </c>
      <c r="AA1102" s="35" t="s">
        <v>1412</v>
      </c>
      <c r="AB1102" s="32" t="s">
        <v>2604</v>
      </c>
      <c r="AC1102" s="32" t="s">
        <v>1425</v>
      </c>
      <c r="AH1102" s="32" t="s">
        <v>411</v>
      </c>
      <c r="AK1102" s="40" t="s">
        <v>1737</v>
      </c>
      <c r="AL1102" s="32">
        <v>2016</v>
      </c>
      <c r="AM1102" s="32" t="s">
        <v>1738</v>
      </c>
      <c r="AN1102" s="32" t="s">
        <v>1739</v>
      </c>
      <c r="AO1102" s="38" t="s">
        <v>1740</v>
      </c>
      <c r="AP1102" s="35" t="s">
        <v>396</v>
      </c>
    </row>
    <row r="1103" spans="1:42" x14ac:dyDescent="0.2">
      <c r="A1103" s="40">
        <v>118</v>
      </c>
      <c r="B1103" s="40">
        <v>1102</v>
      </c>
      <c r="C1103" s="40" t="s">
        <v>149</v>
      </c>
      <c r="D1103" s="38" t="s">
        <v>148</v>
      </c>
      <c r="E1103" s="32" t="s">
        <v>2183</v>
      </c>
      <c r="F1103" s="32" t="s">
        <v>237</v>
      </c>
      <c r="G1103" s="38" t="s">
        <v>154</v>
      </c>
      <c r="H1103" s="32" t="s">
        <v>242</v>
      </c>
      <c r="I1103" s="32" t="s">
        <v>120</v>
      </c>
      <c r="J1103" s="32" t="s">
        <v>1462</v>
      </c>
      <c r="K1103" s="32" t="s">
        <v>1513</v>
      </c>
      <c r="L1103" s="32" t="s">
        <v>30</v>
      </c>
      <c r="M1103" s="32" t="s">
        <v>30</v>
      </c>
      <c r="N1103" s="40">
        <v>2022</v>
      </c>
      <c r="O1103" s="32">
        <f>VLOOKUP(Data!N805, CPI!$A$2:$B$112, 2, 0)</f>
        <v>232.95699999999999</v>
      </c>
      <c r="P1103" s="32" t="s">
        <v>7</v>
      </c>
      <c r="Q1103" s="32" t="s">
        <v>239</v>
      </c>
      <c r="R1103" s="32" t="s">
        <v>1741</v>
      </c>
      <c r="S1103" s="32">
        <v>760</v>
      </c>
      <c r="T1103" s="32" t="s">
        <v>316</v>
      </c>
      <c r="U1103" s="32">
        <v>760</v>
      </c>
      <c r="V1103" s="32" t="s">
        <v>316</v>
      </c>
      <c r="X1103" s="32">
        <f t="shared" si="68"/>
        <v>760</v>
      </c>
      <c r="Y1103" s="32">
        <f>(CPI!$B$112/O1103)*X1103</f>
        <v>993.97884588142881</v>
      </c>
      <c r="Z1103" s="38" t="s">
        <v>262</v>
      </c>
      <c r="AA1103" s="35" t="s">
        <v>1447</v>
      </c>
      <c r="AB1103" s="32">
        <v>280849</v>
      </c>
      <c r="AC1103" s="32" t="s">
        <v>2637</v>
      </c>
      <c r="AH1103" s="32" t="s">
        <v>411</v>
      </c>
      <c r="AI1103" s="32" t="s">
        <v>1539</v>
      </c>
      <c r="AK1103" s="40" t="s">
        <v>1775</v>
      </c>
      <c r="AL1103" s="32">
        <v>2022</v>
      </c>
      <c r="AM1103" s="32" t="s">
        <v>1776</v>
      </c>
      <c r="AN1103" s="32" t="s">
        <v>1777</v>
      </c>
      <c r="AO1103" s="38" t="s">
        <v>1778</v>
      </c>
      <c r="AP1103" s="35" t="s">
        <v>396</v>
      </c>
    </row>
    <row r="1104" spans="1:42" x14ac:dyDescent="0.2">
      <c r="A1104" s="40">
        <v>118</v>
      </c>
      <c r="B1104" s="40">
        <v>1103</v>
      </c>
      <c r="C1104" s="40" t="s">
        <v>149</v>
      </c>
      <c r="D1104" s="38" t="s">
        <v>148</v>
      </c>
      <c r="E1104" s="32" t="s">
        <v>2183</v>
      </c>
      <c r="F1104" s="32" t="s">
        <v>237</v>
      </c>
      <c r="G1104" s="38" t="s">
        <v>154</v>
      </c>
      <c r="H1104" s="32" t="s">
        <v>242</v>
      </c>
      <c r="I1104" s="32" t="s">
        <v>120</v>
      </c>
      <c r="J1104" s="32" t="s">
        <v>1462</v>
      </c>
      <c r="K1104" s="32" t="s">
        <v>1513</v>
      </c>
      <c r="L1104" s="32" t="s">
        <v>30</v>
      </c>
      <c r="M1104" s="32" t="s">
        <v>30</v>
      </c>
      <c r="N1104" s="40">
        <v>2022</v>
      </c>
      <c r="O1104" s="32">
        <f>VLOOKUP(Data!N806, CPI!$A$2:$B$112, 2, 0)</f>
        <v>232.95699999999999</v>
      </c>
      <c r="P1104" s="32" t="s">
        <v>7</v>
      </c>
      <c r="Q1104" s="32" t="s">
        <v>239</v>
      </c>
      <c r="R1104" s="32" t="s">
        <v>1742</v>
      </c>
      <c r="S1104" s="32">
        <v>1175</v>
      </c>
      <c r="T1104" s="32" t="s">
        <v>316</v>
      </c>
      <c r="U1104" s="32">
        <v>1175</v>
      </c>
      <c r="V1104" s="32" t="s">
        <v>316</v>
      </c>
      <c r="X1104" s="32">
        <f t="shared" si="68"/>
        <v>1175</v>
      </c>
      <c r="Y1104" s="32">
        <f>(CPI!$B$112/O1104)*X1104</f>
        <v>1536.7436104087881</v>
      </c>
      <c r="Z1104" s="38" t="s">
        <v>262</v>
      </c>
      <c r="AA1104" s="35" t="s">
        <v>1447</v>
      </c>
      <c r="AB1104" s="32">
        <v>280849</v>
      </c>
      <c r="AC1104" s="32" t="s">
        <v>2637</v>
      </c>
      <c r="AH1104" s="32" t="s">
        <v>411</v>
      </c>
      <c r="AI1104" s="32" t="s">
        <v>1539</v>
      </c>
      <c r="AK1104" s="40" t="s">
        <v>1775</v>
      </c>
      <c r="AL1104" s="32">
        <v>2022</v>
      </c>
      <c r="AM1104" s="32" t="s">
        <v>1776</v>
      </c>
      <c r="AN1104" s="32" t="s">
        <v>1777</v>
      </c>
      <c r="AO1104" s="38" t="s">
        <v>1778</v>
      </c>
      <c r="AP1104" s="35" t="s">
        <v>396</v>
      </c>
    </row>
    <row r="1105" spans="1:42" x14ac:dyDescent="0.2">
      <c r="A1105" s="40">
        <v>118</v>
      </c>
      <c r="B1105" s="40">
        <v>1104</v>
      </c>
      <c r="C1105" s="40" t="s">
        <v>149</v>
      </c>
      <c r="D1105" s="38" t="s">
        <v>148</v>
      </c>
      <c r="E1105" s="32" t="s">
        <v>2183</v>
      </c>
      <c r="F1105" s="32" t="s">
        <v>237</v>
      </c>
      <c r="G1105" s="38" t="s">
        <v>154</v>
      </c>
      <c r="H1105" s="32" t="s">
        <v>242</v>
      </c>
      <c r="I1105" s="32" t="s">
        <v>120</v>
      </c>
      <c r="J1105" s="32" t="s">
        <v>1462</v>
      </c>
      <c r="K1105" s="32" t="s">
        <v>1513</v>
      </c>
      <c r="L1105" s="32" t="s">
        <v>30</v>
      </c>
      <c r="M1105" s="32" t="s">
        <v>30</v>
      </c>
      <c r="N1105" s="40">
        <v>2022</v>
      </c>
      <c r="O1105" s="32">
        <f>VLOOKUP(Data!N807, CPI!$A$2:$B$112, 2, 0)</f>
        <v>232.95699999999999</v>
      </c>
      <c r="P1105" s="32" t="s">
        <v>7</v>
      </c>
      <c r="Q1105" s="32" t="s">
        <v>239</v>
      </c>
      <c r="R1105" s="32" t="s">
        <v>1743</v>
      </c>
      <c r="S1105" s="32">
        <v>1086</v>
      </c>
      <c r="T1105" s="32" t="s">
        <v>316</v>
      </c>
      <c r="U1105" s="32">
        <v>1086</v>
      </c>
      <c r="V1105" s="32" t="s">
        <v>316</v>
      </c>
      <c r="X1105" s="32">
        <f t="shared" si="68"/>
        <v>1086</v>
      </c>
      <c r="Y1105" s="32">
        <f>(CPI!$B$112/O1105)*X1105</f>
        <v>1420.3434560884627</v>
      </c>
      <c r="Z1105" s="38" t="s">
        <v>262</v>
      </c>
      <c r="AA1105" s="35" t="s">
        <v>1447</v>
      </c>
      <c r="AB1105" s="32">
        <v>280849</v>
      </c>
      <c r="AC1105" s="32" t="s">
        <v>2637</v>
      </c>
      <c r="AH1105" s="32" t="s">
        <v>411</v>
      </c>
      <c r="AI1105" s="32" t="s">
        <v>1539</v>
      </c>
      <c r="AK1105" s="40" t="s">
        <v>1775</v>
      </c>
      <c r="AL1105" s="32">
        <v>2022</v>
      </c>
      <c r="AM1105" s="32" t="s">
        <v>1776</v>
      </c>
      <c r="AN1105" s="32" t="s">
        <v>1777</v>
      </c>
      <c r="AO1105" s="38" t="s">
        <v>1778</v>
      </c>
      <c r="AP1105" s="35" t="s">
        <v>396</v>
      </c>
    </row>
    <row r="1106" spans="1:42" x14ac:dyDescent="0.2">
      <c r="A1106" s="40">
        <v>118</v>
      </c>
      <c r="B1106" s="40">
        <v>1105</v>
      </c>
      <c r="C1106" s="40" t="s">
        <v>149</v>
      </c>
      <c r="D1106" s="38" t="s">
        <v>148</v>
      </c>
      <c r="E1106" s="32" t="s">
        <v>2183</v>
      </c>
      <c r="F1106" s="32" t="s">
        <v>237</v>
      </c>
      <c r="G1106" s="38" t="s">
        <v>154</v>
      </c>
      <c r="H1106" s="32" t="s">
        <v>242</v>
      </c>
      <c r="I1106" s="32" t="s">
        <v>120</v>
      </c>
      <c r="J1106" s="32" t="s">
        <v>1462</v>
      </c>
      <c r="K1106" s="32" t="s">
        <v>1513</v>
      </c>
      <c r="L1106" s="32" t="s">
        <v>30</v>
      </c>
      <c r="M1106" s="32" t="s">
        <v>30</v>
      </c>
      <c r="N1106" s="40">
        <v>2022</v>
      </c>
      <c r="O1106" s="32">
        <f>VLOOKUP(Data!N808, CPI!$A$2:$B$112, 2, 0)</f>
        <v>232.95699999999999</v>
      </c>
      <c r="P1106" s="32" t="s">
        <v>7</v>
      </c>
      <c r="Q1106" s="32" t="s">
        <v>239</v>
      </c>
      <c r="R1106" s="32" t="s">
        <v>1744</v>
      </c>
      <c r="S1106" s="32">
        <v>2086</v>
      </c>
      <c r="T1106" s="32" t="s">
        <v>316</v>
      </c>
      <c r="U1106" s="32">
        <v>2086</v>
      </c>
      <c r="V1106" s="32" t="s">
        <v>316</v>
      </c>
      <c r="X1106" s="32">
        <f t="shared" si="68"/>
        <v>2086</v>
      </c>
      <c r="Y1106" s="32">
        <f>(CPI!$B$112/O1106)*X1106</f>
        <v>2728.210358564027</v>
      </c>
      <c r="Z1106" s="38" t="s">
        <v>262</v>
      </c>
      <c r="AA1106" s="35" t="s">
        <v>1447</v>
      </c>
      <c r="AB1106" s="32">
        <v>280849</v>
      </c>
      <c r="AC1106" s="32" t="s">
        <v>2637</v>
      </c>
      <c r="AH1106" s="32" t="s">
        <v>411</v>
      </c>
      <c r="AI1106" s="32" t="s">
        <v>1539</v>
      </c>
      <c r="AK1106" s="40" t="s">
        <v>1775</v>
      </c>
      <c r="AL1106" s="32">
        <v>2022</v>
      </c>
      <c r="AM1106" s="32" t="s">
        <v>1776</v>
      </c>
      <c r="AN1106" s="32" t="s">
        <v>1777</v>
      </c>
      <c r="AO1106" s="38" t="s">
        <v>1778</v>
      </c>
      <c r="AP1106" s="35" t="s">
        <v>396</v>
      </c>
    </row>
    <row r="1107" spans="1:42" x14ac:dyDescent="0.2">
      <c r="A1107" s="40">
        <v>118</v>
      </c>
      <c r="B1107" s="40">
        <v>1106</v>
      </c>
      <c r="C1107" s="40" t="s">
        <v>149</v>
      </c>
      <c r="D1107" s="38" t="s">
        <v>148</v>
      </c>
      <c r="E1107" s="32" t="s">
        <v>2183</v>
      </c>
      <c r="F1107" s="32" t="s">
        <v>237</v>
      </c>
      <c r="G1107" s="38" t="s">
        <v>154</v>
      </c>
      <c r="H1107" s="32" t="s">
        <v>242</v>
      </c>
      <c r="I1107" s="32" t="s">
        <v>120</v>
      </c>
      <c r="J1107" s="32" t="s">
        <v>1462</v>
      </c>
      <c r="K1107" s="32" t="s">
        <v>1513</v>
      </c>
      <c r="L1107" s="32" t="s">
        <v>30</v>
      </c>
      <c r="M1107" s="32" t="s">
        <v>30</v>
      </c>
      <c r="N1107" s="40">
        <v>2022</v>
      </c>
      <c r="O1107" s="32">
        <f>VLOOKUP(Data!N809, CPI!$A$2:$B$112, 2, 0)</f>
        <v>258.81099999999998</v>
      </c>
      <c r="P1107" s="32" t="s">
        <v>7</v>
      </c>
      <c r="Q1107" s="32" t="s">
        <v>239</v>
      </c>
      <c r="R1107" s="32" t="s">
        <v>1745</v>
      </c>
      <c r="S1107" s="32">
        <v>1033</v>
      </c>
      <c r="T1107" s="32" t="s">
        <v>316</v>
      </c>
      <c r="U1107" s="32">
        <v>1033</v>
      </c>
      <c r="V1107" s="32" t="s">
        <v>316</v>
      </c>
      <c r="X1107" s="32">
        <f t="shared" si="68"/>
        <v>1033</v>
      </c>
      <c r="Y1107" s="32">
        <f>(CPI!$B$112/O1107)*X1107</f>
        <v>1216.0653246964005</v>
      </c>
      <c r="Z1107" s="38" t="s">
        <v>262</v>
      </c>
      <c r="AA1107" s="35" t="s">
        <v>1447</v>
      </c>
      <c r="AB1107" s="32">
        <v>280849</v>
      </c>
      <c r="AC1107" s="32" t="s">
        <v>2637</v>
      </c>
      <c r="AH1107" s="32" t="s">
        <v>411</v>
      </c>
      <c r="AI1107" s="32" t="s">
        <v>1539</v>
      </c>
      <c r="AK1107" s="40" t="s">
        <v>1775</v>
      </c>
      <c r="AL1107" s="32">
        <v>2022</v>
      </c>
      <c r="AM1107" s="32" t="s">
        <v>1776</v>
      </c>
      <c r="AN1107" s="32" t="s">
        <v>1777</v>
      </c>
      <c r="AO1107" s="38" t="s">
        <v>1778</v>
      </c>
      <c r="AP1107" s="35" t="s">
        <v>396</v>
      </c>
    </row>
    <row r="1108" spans="1:42" x14ac:dyDescent="0.2">
      <c r="A1108" s="40">
        <v>118</v>
      </c>
      <c r="B1108" s="40">
        <v>1107</v>
      </c>
      <c r="C1108" s="40" t="s">
        <v>149</v>
      </c>
      <c r="D1108" s="38" t="s">
        <v>148</v>
      </c>
      <c r="E1108" s="32" t="s">
        <v>2183</v>
      </c>
      <c r="F1108" s="32" t="s">
        <v>237</v>
      </c>
      <c r="G1108" s="38" t="s">
        <v>154</v>
      </c>
      <c r="H1108" s="32" t="s">
        <v>242</v>
      </c>
      <c r="I1108" s="32" t="s">
        <v>120</v>
      </c>
      <c r="J1108" s="32" t="s">
        <v>1462</v>
      </c>
      <c r="K1108" s="32" t="s">
        <v>1513</v>
      </c>
      <c r="L1108" s="32" t="s">
        <v>30</v>
      </c>
      <c r="M1108" s="32" t="s">
        <v>30</v>
      </c>
      <c r="N1108" s="40">
        <v>2022</v>
      </c>
      <c r="O1108" s="32">
        <f>VLOOKUP(Data!N810, CPI!$A$2:$B$112, 2, 0)</f>
        <v>258.81099999999998</v>
      </c>
      <c r="P1108" s="32" t="s">
        <v>7</v>
      </c>
      <c r="Q1108" s="32" t="s">
        <v>239</v>
      </c>
      <c r="R1108" s="32" t="s">
        <v>1746</v>
      </c>
      <c r="S1108" s="32">
        <v>834</v>
      </c>
      <c r="T1108" s="32" t="s">
        <v>316</v>
      </c>
      <c r="U1108" s="32">
        <v>834</v>
      </c>
      <c r="V1108" s="32" t="s">
        <v>316</v>
      </c>
      <c r="X1108" s="32">
        <f t="shared" si="68"/>
        <v>834</v>
      </c>
      <c r="Y1108" s="32">
        <f>(CPI!$B$112/O1108)*X1108</f>
        <v>981.79911016146946</v>
      </c>
      <c r="Z1108" s="38" t="s">
        <v>262</v>
      </c>
      <c r="AA1108" s="35" t="s">
        <v>1447</v>
      </c>
      <c r="AB1108" s="32">
        <v>280849</v>
      </c>
      <c r="AC1108" s="32" t="s">
        <v>2637</v>
      </c>
      <c r="AH1108" s="32" t="s">
        <v>411</v>
      </c>
      <c r="AI1108" s="32" t="s">
        <v>1539</v>
      </c>
      <c r="AK1108" s="40" t="s">
        <v>1775</v>
      </c>
      <c r="AL1108" s="32">
        <v>2022</v>
      </c>
      <c r="AM1108" s="32" t="s">
        <v>1776</v>
      </c>
      <c r="AN1108" s="32" t="s">
        <v>1777</v>
      </c>
      <c r="AO1108" s="38" t="s">
        <v>1778</v>
      </c>
      <c r="AP1108" s="35" t="s">
        <v>396</v>
      </c>
    </row>
    <row r="1109" spans="1:42" x14ac:dyDescent="0.2">
      <c r="A1109" s="40">
        <v>118</v>
      </c>
      <c r="B1109" s="40">
        <v>1108</v>
      </c>
      <c r="C1109" s="40" t="s">
        <v>149</v>
      </c>
      <c r="D1109" s="38" t="s">
        <v>148</v>
      </c>
      <c r="E1109" s="32" t="s">
        <v>2183</v>
      </c>
      <c r="F1109" s="32" t="s">
        <v>237</v>
      </c>
      <c r="G1109" s="38" t="s">
        <v>154</v>
      </c>
      <c r="H1109" s="32" t="s">
        <v>242</v>
      </c>
      <c r="I1109" s="32" t="s">
        <v>120</v>
      </c>
      <c r="J1109" s="32" t="s">
        <v>1462</v>
      </c>
      <c r="K1109" s="32" t="s">
        <v>1513</v>
      </c>
      <c r="L1109" s="32" t="s">
        <v>30</v>
      </c>
      <c r="M1109" s="32" t="s">
        <v>30</v>
      </c>
      <c r="N1109" s="40">
        <v>2022</v>
      </c>
      <c r="O1109" s="32">
        <f>VLOOKUP(Data!N811, CPI!$A$2:$B$112, 2, 0)</f>
        <v>258.81099999999998</v>
      </c>
      <c r="P1109" s="32" t="s">
        <v>7</v>
      </c>
      <c r="Q1109" s="32" t="s">
        <v>239</v>
      </c>
      <c r="R1109" s="32" t="s">
        <v>1747</v>
      </c>
      <c r="S1109" s="32">
        <v>1185</v>
      </c>
      <c r="T1109" s="32" t="s">
        <v>316</v>
      </c>
      <c r="U1109" s="32">
        <v>1185</v>
      </c>
      <c r="V1109" s="32" t="s">
        <v>316</v>
      </c>
      <c r="X1109" s="32">
        <f t="shared" si="68"/>
        <v>1185</v>
      </c>
      <c r="Y1109" s="32">
        <f>(CPI!$B$112/O1109)*X1109</f>
        <v>1395.0023327833828</v>
      </c>
      <c r="Z1109" s="38" t="s">
        <v>262</v>
      </c>
      <c r="AA1109" s="35" t="s">
        <v>1447</v>
      </c>
      <c r="AB1109" s="32">
        <v>280849</v>
      </c>
      <c r="AC1109" s="32" t="s">
        <v>2637</v>
      </c>
      <c r="AH1109" s="32" t="s">
        <v>411</v>
      </c>
      <c r="AI1109" s="32" t="s">
        <v>1539</v>
      </c>
      <c r="AK1109" s="40" t="s">
        <v>1775</v>
      </c>
      <c r="AL1109" s="32">
        <v>2022</v>
      </c>
      <c r="AM1109" s="32" t="s">
        <v>1776</v>
      </c>
      <c r="AN1109" s="32" t="s">
        <v>1777</v>
      </c>
      <c r="AO1109" s="38" t="s">
        <v>1778</v>
      </c>
      <c r="AP1109" s="35" t="s">
        <v>396</v>
      </c>
    </row>
    <row r="1110" spans="1:42" x14ac:dyDescent="0.2">
      <c r="A1110" s="40">
        <v>118</v>
      </c>
      <c r="B1110" s="40">
        <v>1109</v>
      </c>
      <c r="C1110" s="40" t="s">
        <v>149</v>
      </c>
      <c r="D1110" s="38" t="s">
        <v>148</v>
      </c>
      <c r="E1110" s="32" t="s">
        <v>2183</v>
      </c>
      <c r="F1110" s="32" t="s">
        <v>237</v>
      </c>
      <c r="G1110" s="38" t="s">
        <v>154</v>
      </c>
      <c r="H1110" s="32" t="s">
        <v>242</v>
      </c>
      <c r="I1110" s="32" t="s">
        <v>120</v>
      </c>
      <c r="J1110" s="32" t="s">
        <v>1462</v>
      </c>
      <c r="K1110" s="32" t="s">
        <v>1513</v>
      </c>
      <c r="L1110" s="32" t="s">
        <v>30</v>
      </c>
      <c r="M1110" s="32" t="s">
        <v>30</v>
      </c>
      <c r="N1110" s="40">
        <v>2022</v>
      </c>
      <c r="O1110" s="32">
        <f>VLOOKUP(Data!N812, CPI!$A$2:$B$112, 2, 0)</f>
        <v>258.81099999999998</v>
      </c>
      <c r="P1110" s="32" t="s">
        <v>7</v>
      </c>
      <c r="Q1110" s="32" t="s">
        <v>239</v>
      </c>
      <c r="R1110" s="32" t="s">
        <v>1748</v>
      </c>
      <c r="S1110" s="32">
        <v>1108</v>
      </c>
      <c r="T1110" s="32" t="s">
        <v>316</v>
      </c>
      <c r="U1110" s="32">
        <v>1108</v>
      </c>
      <c r="V1110" s="32" t="s">
        <v>316</v>
      </c>
      <c r="X1110" s="32">
        <f t="shared" si="68"/>
        <v>1108</v>
      </c>
      <c r="Y1110" s="32">
        <f>(CPI!$B$112/O1110)*X1110</f>
        <v>1304.3566115814247</v>
      </c>
      <c r="Z1110" s="38" t="s">
        <v>262</v>
      </c>
      <c r="AA1110" s="35" t="s">
        <v>1447</v>
      </c>
      <c r="AB1110" s="32">
        <v>280849</v>
      </c>
      <c r="AC1110" s="32" t="s">
        <v>2637</v>
      </c>
      <c r="AH1110" s="32" t="s">
        <v>411</v>
      </c>
      <c r="AI1110" s="32" t="s">
        <v>1539</v>
      </c>
      <c r="AK1110" s="40" t="s">
        <v>1775</v>
      </c>
      <c r="AL1110" s="32">
        <v>2022</v>
      </c>
      <c r="AM1110" s="32" t="s">
        <v>1776</v>
      </c>
      <c r="AN1110" s="32" t="s">
        <v>1777</v>
      </c>
      <c r="AO1110" s="38" t="s">
        <v>1778</v>
      </c>
      <c r="AP1110" s="35" t="s">
        <v>396</v>
      </c>
    </row>
    <row r="1111" spans="1:42" x14ac:dyDescent="0.2">
      <c r="A1111" s="40">
        <v>118</v>
      </c>
      <c r="B1111" s="40">
        <v>1110</v>
      </c>
      <c r="C1111" s="40" t="s">
        <v>149</v>
      </c>
      <c r="D1111" s="38" t="s">
        <v>148</v>
      </c>
      <c r="E1111" s="32" t="s">
        <v>2183</v>
      </c>
      <c r="F1111" s="32" t="s">
        <v>237</v>
      </c>
      <c r="G1111" s="38" t="s">
        <v>154</v>
      </c>
      <c r="H1111" s="32" t="s">
        <v>242</v>
      </c>
      <c r="I1111" s="32" t="s">
        <v>120</v>
      </c>
      <c r="J1111" s="32" t="s">
        <v>1462</v>
      </c>
      <c r="K1111" s="32" t="s">
        <v>1513</v>
      </c>
      <c r="L1111" s="32" t="s">
        <v>30</v>
      </c>
      <c r="M1111" s="32" t="s">
        <v>30</v>
      </c>
      <c r="N1111" s="40">
        <v>2022</v>
      </c>
      <c r="O1111" s="32">
        <f>VLOOKUP(Data!N813, CPI!$A$2:$B$112, 2, 0)</f>
        <v>258.81099999999998</v>
      </c>
      <c r="P1111" s="32" t="s">
        <v>7</v>
      </c>
      <c r="Q1111" s="32" t="s">
        <v>239</v>
      </c>
      <c r="R1111" s="32" t="s">
        <v>1749</v>
      </c>
      <c r="S1111" s="32">
        <v>2099</v>
      </c>
      <c r="T1111" s="32" t="s">
        <v>316</v>
      </c>
      <c r="U1111" s="32">
        <v>2099</v>
      </c>
      <c r="V1111" s="32" t="s">
        <v>316</v>
      </c>
      <c r="X1111" s="32">
        <f t="shared" si="68"/>
        <v>2099</v>
      </c>
      <c r="Y1111" s="32">
        <f>(CPI!$B$112/O1111)*X1111</f>
        <v>2470.9788156222112</v>
      </c>
      <c r="Z1111" s="38" t="s">
        <v>262</v>
      </c>
      <c r="AA1111" s="35" t="s">
        <v>1447</v>
      </c>
      <c r="AB1111" s="32">
        <v>280849</v>
      </c>
      <c r="AC1111" s="32" t="s">
        <v>2637</v>
      </c>
      <c r="AH1111" s="32" t="s">
        <v>411</v>
      </c>
      <c r="AI1111" s="32" t="s">
        <v>1539</v>
      </c>
      <c r="AK1111" s="40" t="s">
        <v>1775</v>
      </c>
      <c r="AL1111" s="32">
        <v>2022</v>
      </c>
      <c r="AM1111" s="32" t="s">
        <v>1776</v>
      </c>
      <c r="AN1111" s="32" t="s">
        <v>1777</v>
      </c>
      <c r="AO1111" s="38" t="s">
        <v>1778</v>
      </c>
      <c r="AP1111" s="35" t="s">
        <v>396</v>
      </c>
    </row>
    <row r="1112" spans="1:42" x14ac:dyDescent="0.2">
      <c r="A1112" s="40">
        <v>118</v>
      </c>
      <c r="B1112" s="40">
        <v>1111</v>
      </c>
      <c r="C1112" s="40" t="s">
        <v>149</v>
      </c>
      <c r="D1112" s="38" t="s">
        <v>148</v>
      </c>
      <c r="E1112" s="32" t="s">
        <v>2183</v>
      </c>
      <c r="F1112" s="32" t="s">
        <v>237</v>
      </c>
      <c r="G1112" s="38" t="s">
        <v>154</v>
      </c>
      <c r="H1112" s="32" t="s">
        <v>242</v>
      </c>
      <c r="I1112" s="32" t="s">
        <v>120</v>
      </c>
      <c r="J1112" s="32" t="s">
        <v>1462</v>
      </c>
      <c r="K1112" s="32" t="s">
        <v>1513</v>
      </c>
      <c r="L1112" s="32" t="s">
        <v>30</v>
      </c>
      <c r="M1112" s="32" t="s">
        <v>30</v>
      </c>
      <c r="N1112" s="40">
        <v>2022</v>
      </c>
      <c r="O1112" s="32">
        <f>VLOOKUP(Data!N814, CPI!$A$2:$B$112, 2, 0)</f>
        <v>258.81099999999998</v>
      </c>
      <c r="P1112" s="32" t="s">
        <v>7</v>
      </c>
      <c r="Q1112" s="32" t="s">
        <v>239</v>
      </c>
      <c r="R1112" s="32" t="s">
        <v>1750</v>
      </c>
      <c r="S1112" s="32">
        <v>1041</v>
      </c>
      <c r="T1112" s="32" t="s">
        <v>316</v>
      </c>
      <c r="U1112" s="32">
        <v>1041</v>
      </c>
      <c r="V1112" s="32" t="s">
        <v>316</v>
      </c>
      <c r="X1112" s="32">
        <f t="shared" ref="X1112:X1143" si="69">U1112</f>
        <v>1041</v>
      </c>
      <c r="Y1112" s="32">
        <f>(CPI!$B$112/O1112)*X1112</f>
        <v>1225.4830619641364</v>
      </c>
      <c r="Z1112" s="38" t="s">
        <v>262</v>
      </c>
      <c r="AA1112" s="35" t="s">
        <v>1447</v>
      </c>
      <c r="AB1112" s="32">
        <v>280849</v>
      </c>
      <c r="AC1112" s="32" t="s">
        <v>2637</v>
      </c>
      <c r="AH1112" s="32" t="s">
        <v>411</v>
      </c>
      <c r="AI1112" s="32" t="s">
        <v>1539</v>
      </c>
      <c r="AK1112" s="40" t="s">
        <v>1775</v>
      </c>
      <c r="AL1112" s="32">
        <v>2022</v>
      </c>
      <c r="AM1112" s="32" t="s">
        <v>1776</v>
      </c>
      <c r="AN1112" s="32" t="s">
        <v>1777</v>
      </c>
      <c r="AO1112" s="38" t="s">
        <v>1778</v>
      </c>
      <c r="AP1112" s="35" t="s">
        <v>396</v>
      </c>
    </row>
    <row r="1113" spans="1:42" x14ac:dyDescent="0.2">
      <c r="A1113" s="40">
        <v>118</v>
      </c>
      <c r="B1113" s="40">
        <v>1112</v>
      </c>
      <c r="C1113" s="40" t="s">
        <v>149</v>
      </c>
      <c r="D1113" s="38" t="s">
        <v>148</v>
      </c>
      <c r="E1113" s="32" t="s">
        <v>2183</v>
      </c>
      <c r="F1113" s="32" t="s">
        <v>237</v>
      </c>
      <c r="G1113" s="38" t="s">
        <v>154</v>
      </c>
      <c r="H1113" s="32" t="s">
        <v>242</v>
      </c>
      <c r="I1113" s="32" t="s">
        <v>120</v>
      </c>
      <c r="J1113" s="32" t="s">
        <v>1462</v>
      </c>
      <c r="K1113" s="32" t="s">
        <v>1513</v>
      </c>
      <c r="L1113" s="32" t="s">
        <v>30</v>
      </c>
      <c r="M1113" s="32" t="s">
        <v>30</v>
      </c>
      <c r="N1113" s="40">
        <v>2022</v>
      </c>
      <c r="O1113" s="32">
        <f>VLOOKUP(Data!N815, CPI!$A$2:$B$112, 2, 0)</f>
        <v>258.81099999999998</v>
      </c>
      <c r="P1113" s="32" t="s">
        <v>7</v>
      </c>
      <c r="Q1113" s="32" t="s">
        <v>239</v>
      </c>
      <c r="R1113" s="32" t="s">
        <v>1751</v>
      </c>
      <c r="S1113" s="32">
        <v>907</v>
      </c>
      <c r="T1113" s="32" t="s">
        <v>316</v>
      </c>
      <c r="U1113" s="32">
        <v>907</v>
      </c>
      <c r="V1113" s="32" t="s">
        <v>316</v>
      </c>
      <c r="X1113" s="32">
        <f t="shared" si="69"/>
        <v>907</v>
      </c>
      <c r="Y1113" s="32">
        <f>(CPI!$B$112/O1113)*X1113</f>
        <v>1067.7359627295596</v>
      </c>
      <c r="Z1113" s="38" t="s">
        <v>262</v>
      </c>
      <c r="AA1113" s="35" t="s">
        <v>1447</v>
      </c>
      <c r="AB1113" s="32">
        <v>280849</v>
      </c>
      <c r="AC1113" s="32" t="s">
        <v>2637</v>
      </c>
      <c r="AH1113" s="32" t="s">
        <v>411</v>
      </c>
      <c r="AI1113" s="32" t="s">
        <v>1539</v>
      </c>
      <c r="AK1113" s="40" t="s">
        <v>1775</v>
      </c>
      <c r="AL1113" s="32">
        <v>2022</v>
      </c>
      <c r="AM1113" s="32" t="s">
        <v>1776</v>
      </c>
      <c r="AN1113" s="32" t="s">
        <v>1777</v>
      </c>
      <c r="AO1113" s="38" t="s">
        <v>1778</v>
      </c>
      <c r="AP1113" s="35" t="s">
        <v>396</v>
      </c>
    </row>
    <row r="1114" spans="1:42" x14ac:dyDescent="0.2">
      <c r="A1114" s="40">
        <v>118</v>
      </c>
      <c r="B1114" s="40">
        <v>1113</v>
      </c>
      <c r="C1114" s="40" t="s">
        <v>149</v>
      </c>
      <c r="D1114" s="38" t="s">
        <v>148</v>
      </c>
      <c r="E1114" s="32" t="s">
        <v>2183</v>
      </c>
      <c r="F1114" s="32" t="s">
        <v>237</v>
      </c>
      <c r="G1114" s="38" t="s">
        <v>154</v>
      </c>
      <c r="H1114" s="32" t="s">
        <v>242</v>
      </c>
      <c r="I1114" s="32" t="s">
        <v>120</v>
      </c>
      <c r="J1114" s="32" t="s">
        <v>1462</v>
      </c>
      <c r="K1114" s="32" t="s">
        <v>1513</v>
      </c>
      <c r="L1114" s="32" t="s">
        <v>30</v>
      </c>
      <c r="M1114" s="32" t="s">
        <v>30</v>
      </c>
      <c r="N1114" s="40">
        <v>2022</v>
      </c>
      <c r="O1114" s="32">
        <f>VLOOKUP(Data!N816, CPI!$A$2:$B$112, 2, 0)</f>
        <v>258.81099999999998</v>
      </c>
      <c r="P1114" s="32" t="s">
        <v>7</v>
      </c>
      <c r="Q1114" s="32" t="s">
        <v>239</v>
      </c>
      <c r="R1114" s="32" t="s">
        <v>1752</v>
      </c>
      <c r="S1114" s="32">
        <v>1194</v>
      </c>
      <c r="T1114" s="32" t="s">
        <v>316</v>
      </c>
      <c r="U1114" s="32">
        <v>1194</v>
      </c>
      <c r="V1114" s="32" t="s">
        <v>316</v>
      </c>
      <c r="X1114" s="32">
        <f t="shared" si="69"/>
        <v>1194</v>
      </c>
      <c r="Y1114" s="32">
        <f>(CPI!$B$112/O1114)*X1114</f>
        <v>1405.5972872095856</v>
      </c>
      <c r="Z1114" s="38" t="s">
        <v>262</v>
      </c>
      <c r="AA1114" s="35" t="s">
        <v>1447</v>
      </c>
      <c r="AB1114" s="32">
        <v>280849</v>
      </c>
      <c r="AC1114" s="32" t="s">
        <v>2637</v>
      </c>
      <c r="AH1114" s="32" t="s">
        <v>411</v>
      </c>
      <c r="AI1114" s="32" t="s">
        <v>1539</v>
      </c>
      <c r="AK1114" s="40" t="s">
        <v>1775</v>
      </c>
      <c r="AL1114" s="32">
        <v>2022</v>
      </c>
      <c r="AM1114" s="32" t="s">
        <v>1776</v>
      </c>
      <c r="AN1114" s="32" t="s">
        <v>1777</v>
      </c>
      <c r="AO1114" s="38" t="s">
        <v>1778</v>
      </c>
      <c r="AP1114" s="35" t="s">
        <v>396</v>
      </c>
    </row>
    <row r="1115" spans="1:42" x14ac:dyDescent="0.2">
      <c r="A1115" s="40">
        <v>118</v>
      </c>
      <c r="B1115" s="40">
        <v>1114</v>
      </c>
      <c r="C1115" s="40" t="s">
        <v>149</v>
      </c>
      <c r="D1115" s="38" t="s">
        <v>148</v>
      </c>
      <c r="E1115" s="32" t="s">
        <v>2183</v>
      </c>
      <c r="F1115" s="32" t="s">
        <v>237</v>
      </c>
      <c r="G1115" s="38" t="s">
        <v>154</v>
      </c>
      <c r="H1115" s="32" t="s">
        <v>242</v>
      </c>
      <c r="I1115" s="32" t="s">
        <v>120</v>
      </c>
      <c r="J1115" s="32" t="s">
        <v>1462</v>
      </c>
      <c r="K1115" s="32" t="s">
        <v>1513</v>
      </c>
      <c r="L1115" s="32" t="s">
        <v>30</v>
      </c>
      <c r="M1115" s="32" t="s">
        <v>30</v>
      </c>
      <c r="N1115" s="40">
        <v>2022</v>
      </c>
      <c r="O1115" s="32">
        <f>VLOOKUP(Data!N817, CPI!$A$2:$B$112, 2, 0)</f>
        <v>215.303</v>
      </c>
      <c r="P1115" s="32" t="s">
        <v>7</v>
      </c>
      <c r="Q1115" s="32" t="s">
        <v>239</v>
      </c>
      <c r="R1115" s="32" t="s">
        <v>1753</v>
      </c>
      <c r="S1115" s="32">
        <v>1131</v>
      </c>
      <c r="T1115" s="32" t="s">
        <v>316</v>
      </c>
      <c r="U1115" s="32">
        <v>1131</v>
      </c>
      <c r="V1115" s="32" t="s">
        <v>316</v>
      </c>
      <c r="X1115" s="32">
        <f t="shared" si="69"/>
        <v>1131</v>
      </c>
      <c r="Y1115" s="32">
        <f>(CPI!$B$112/O1115)*X1115</f>
        <v>1600.4858466904782</v>
      </c>
      <c r="Z1115" s="38" t="s">
        <v>262</v>
      </c>
      <c r="AA1115" s="35" t="s">
        <v>1447</v>
      </c>
      <c r="AB1115" s="32">
        <v>280849</v>
      </c>
      <c r="AC1115" s="32" t="s">
        <v>2637</v>
      </c>
      <c r="AH1115" s="32" t="s">
        <v>411</v>
      </c>
      <c r="AI1115" s="32" t="s">
        <v>1539</v>
      </c>
      <c r="AK1115" s="40" t="s">
        <v>1775</v>
      </c>
      <c r="AL1115" s="32">
        <v>2022</v>
      </c>
      <c r="AM1115" s="32" t="s">
        <v>1776</v>
      </c>
      <c r="AN1115" s="32" t="s">
        <v>1777</v>
      </c>
      <c r="AO1115" s="38" t="s">
        <v>1778</v>
      </c>
      <c r="AP1115" s="35" t="s">
        <v>396</v>
      </c>
    </row>
    <row r="1116" spans="1:42" x14ac:dyDescent="0.2">
      <c r="A1116" s="40">
        <v>118</v>
      </c>
      <c r="B1116" s="40">
        <v>1115</v>
      </c>
      <c r="C1116" s="40" t="s">
        <v>149</v>
      </c>
      <c r="D1116" s="38" t="s">
        <v>148</v>
      </c>
      <c r="E1116" s="32" t="s">
        <v>2183</v>
      </c>
      <c r="F1116" s="32" t="s">
        <v>237</v>
      </c>
      <c r="G1116" s="38" t="s">
        <v>154</v>
      </c>
      <c r="H1116" s="32" t="s">
        <v>242</v>
      </c>
      <c r="I1116" s="32" t="s">
        <v>120</v>
      </c>
      <c r="J1116" s="32" t="s">
        <v>1462</v>
      </c>
      <c r="K1116" s="32" t="s">
        <v>1513</v>
      </c>
      <c r="L1116" s="32" t="s">
        <v>30</v>
      </c>
      <c r="M1116" s="32" t="s">
        <v>30</v>
      </c>
      <c r="N1116" s="40">
        <v>2022</v>
      </c>
      <c r="O1116" s="32">
        <f>VLOOKUP(Data!N818, CPI!$A$2:$B$112, 2, 0)</f>
        <v>215.303</v>
      </c>
      <c r="P1116" s="32" t="s">
        <v>7</v>
      </c>
      <c r="Q1116" s="32" t="s">
        <v>239</v>
      </c>
      <c r="R1116" s="32" t="s">
        <v>1754</v>
      </c>
      <c r="S1116" s="32">
        <v>2112</v>
      </c>
      <c r="T1116" s="32" t="s">
        <v>316</v>
      </c>
      <c r="U1116" s="32">
        <v>2112</v>
      </c>
      <c r="V1116" s="32" t="s">
        <v>316</v>
      </c>
      <c r="X1116" s="32">
        <f t="shared" si="69"/>
        <v>2112</v>
      </c>
      <c r="Y1116" s="32">
        <f>(CPI!$B$112/O1116)*X1116</f>
        <v>2988.7056659684258</v>
      </c>
      <c r="Z1116" s="38" t="s">
        <v>262</v>
      </c>
      <c r="AA1116" s="35" t="s">
        <v>1447</v>
      </c>
      <c r="AB1116" s="32">
        <v>280849</v>
      </c>
      <c r="AC1116" s="32" t="s">
        <v>2637</v>
      </c>
      <c r="AH1116" s="32" t="s">
        <v>411</v>
      </c>
      <c r="AI1116" s="32" t="s">
        <v>1539</v>
      </c>
      <c r="AK1116" s="40" t="s">
        <v>1775</v>
      </c>
      <c r="AL1116" s="32">
        <v>2022</v>
      </c>
      <c r="AM1116" s="32" t="s">
        <v>1776</v>
      </c>
      <c r="AN1116" s="32" t="s">
        <v>1777</v>
      </c>
      <c r="AO1116" s="38" t="s">
        <v>1778</v>
      </c>
      <c r="AP1116" s="35" t="s">
        <v>396</v>
      </c>
    </row>
    <row r="1117" spans="1:42" x14ac:dyDescent="0.2">
      <c r="A1117" s="40">
        <v>118</v>
      </c>
      <c r="B1117" s="40">
        <v>1116</v>
      </c>
      <c r="C1117" s="40" t="s">
        <v>149</v>
      </c>
      <c r="D1117" s="38" t="s">
        <v>148</v>
      </c>
      <c r="E1117" s="32" t="s">
        <v>2183</v>
      </c>
      <c r="F1117" s="32" t="s">
        <v>237</v>
      </c>
      <c r="G1117" s="38" t="s">
        <v>154</v>
      </c>
      <c r="H1117" s="32" t="s">
        <v>242</v>
      </c>
      <c r="I1117" s="32" t="s">
        <v>120</v>
      </c>
      <c r="J1117" s="32" t="s">
        <v>1462</v>
      </c>
      <c r="K1117" s="32" t="s">
        <v>1513</v>
      </c>
      <c r="L1117" s="32" t="s">
        <v>30</v>
      </c>
      <c r="M1117" s="32" t="s">
        <v>30</v>
      </c>
      <c r="N1117" s="40">
        <v>2022</v>
      </c>
      <c r="O1117" s="32">
        <f>VLOOKUP(Data!N819, CPI!$A$2:$B$112, 2, 0)</f>
        <v>215.303</v>
      </c>
      <c r="P1117" s="32" t="s">
        <v>7</v>
      </c>
      <c r="Q1117" s="32" t="s">
        <v>239</v>
      </c>
      <c r="R1117" s="32" t="s">
        <v>1755</v>
      </c>
      <c r="S1117" s="32">
        <v>1049</v>
      </c>
      <c r="T1117" s="32" t="s">
        <v>316</v>
      </c>
      <c r="U1117" s="32">
        <v>1049</v>
      </c>
      <c r="V1117" s="32" t="s">
        <v>316</v>
      </c>
      <c r="X1117" s="32">
        <f t="shared" si="69"/>
        <v>1049</v>
      </c>
      <c r="Y1117" s="32">
        <f>(CPI!$B$112/O1117)*X1117</f>
        <v>1484.447085038295</v>
      </c>
      <c r="Z1117" s="38" t="s">
        <v>262</v>
      </c>
      <c r="AA1117" s="35" t="s">
        <v>1447</v>
      </c>
      <c r="AB1117" s="32">
        <v>280849</v>
      </c>
      <c r="AC1117" s="32" t="s">
        <v>2637</v>
      </c>
      <c r="AH1117" s="32" t="s">
        <v>411</v>
      </c>
      <c r="AI1117" s="32" t="s">
        <v>1539</v>
      </c>
      <c r="AK1117" s="40" t="s">
        <v>1775</v>
      </c>
      <c r="AL1117" s="32">
        <v>2022</v>
      </c>
      <c r="AM1117" s="32" t="s">
        <v>1776</v>
      </c>
      <c r="AN1117" s="32" t="s">
        <v>1777</v>
      </c>
      <c r="AO1117" s="38" t="s">
        <v>1778</v>
      </c>
      <c r="AP1117" s="35" t="s">
        <v>396</v>
      </c>
    </row>
    <row r="1118" spans="1:42" x14ac:dyDescent="0.2">
      <c r="A1118" s="40">
        <v>118</v>
      </c>
      <c r="B1118" s="40">
        <v>1117</v>
      </c>
      <c r="C1118" s="40" t="s">
        <v>149</v>
      </c>
      <c r="D1118" s="38" t="s">
        <v>148</v>
      </c>
      <c r="E1118" s="32" t="s">
        <v>2183</v>
      </c>
      <c r="F1118" s="32" t="s">
        <v>237</v>
      </c>
      <c r="G1118" s="38" t="s">
        <v>154</v>
      </c>
      <c r="H1118" s="32" t="s">
        <v>242</v>
      </c>
      <c r="I1118" s="32" t="s">
        <v>120</v>
      </c>
      <c r="J1118" s="32" t="s">
        <v>1462</v>
      </c>
      <c r="K1118" s="32" t="s">
        <v>1513</v>
      </c>
      <c r="L1118" s="32" t="s">
        <v>30</v>
      </c>
      <c r="M1118" s="32" t="s">
        <v>30</v>
      </c>
      <c r="N1118" s="40">
        <v>2022</v>
      </c>
      <c r="O1118" s="32">
        <f>VLOOKUP(Data!N820, CPI!$A$2:$B$112, 2, 0)</f>
        <v>215.303</v>
      </c>
      <c r="P1118" s="32" t="s">
        <v>7</v>
      </c>
      <c r="Q1118" s="32" t="s">
        <v>239</v>
      </c>
      <c r="R1118" s="32" t="s">
        <v>1756</v>
      </c>
      <c r="S1118" s="32">
        <v>944</v>
      </c>
      <c r="T1118" s="32" t="s">
        <v>316</v>
      </c>
      <c r="U1118" s="32">
        <v>944</v>
      </c>
      <c r="V1118" s="32" t="s">
        <v>316</v>
      </c>
      <c r="X1118" s="32">
        <f t="shared" si="69"/>
        <v>944</v>
      </c>
      <c r="Y1118" s="32">
        <f>(CPI!$B$112/O1118)*X1118</f>
        <v>1335.8608658495236</v>
      </c>
      <c r="Z1118" s="38" t="s">
        <v>262</v>
      </c>
      <c r="AA1118" s="35" t="s">
        <v>1447</v>
      </c>
      <c r="AB1118" s="32">
        <v>280849</v>
      </c>
      <c r="AC1118" s="32" t="s">
        <v>2637</v>
      </c>
      <c r="AH1118" s="32" t="s">
        <v>411</v>
      </c>
      <c r="AI1118" s="32" t="s">
        <v>1539</v>
      </c>
      <c r="AK1118" s="40" t="s">
        <v>1775</v>
      </c>
      <c r="AL1118" s="32">
        <v>2022</v>
      </c>
      <c r="AM1118" s="32" t="s">
        <v>1776</v>
      </c>
      <c r="AN1118" s="32" t="s">
        <v>1777</v>
      </c>
      <c r="AO1118" s="38" t="s">
        <v>1778</v>
      </c>
      <c r="AP1118" s="35" t="s">
        <v>396</v>
      </c>
    </row>
    <row r="1119" spans="1:42" x14ac:dyDescent="0.2">
      <c r="A1119" s="40">
        <v>118</v>
      </c>
      <c r="B1119" s="40">
        <v>1118</v>
      </c>
      <c r="C1119" s="40" t="s">
        <v>149</v>
      </c>
      <c r="D1119" s="38" t="s">
        <v>148</v>
      </c>
      <c r="E1119" s="32" t="s">
        <v>2183</v>
      </c>
      <c r="F1119" s="32" t="s">
        <v>237</v>
      </c>
      <c r="G1119" s="38" t="s">
        <v>154</v>
      </c>
      <c r="H1119" s="32" t="s">
        <v>242</v>
      </c>
      <c r="I1119" s="32" t="s">
        <v>120</v>
      </c>
      <c r="J1119" s="32" t="s">
        <v>1462</v>
      </c>
      <c r="K1119" s="32" t="s">
        <v>1513</v>
      </c>
      <c r="L1119" s="32" t="s">
        <v>30</v>
      </c>
      <c r="M1119" s="32" t="s">
        <v>30</v>
      </c>
      <c r="N1119" s="40">
        <v>2022</v>
      </c>
      <c r="O1119" s="32">
        <f>VLOOKUP(Data!N821, CPI!$A$2:$B$112, 2, 0)</f>
        <v>215.303</v>
      </c>
      <c r="P1119" s="32" t="s">
        <v>7</v>
      </c>
      <c r="Q1119" s="32" t="s">
        <v>239</v>
      </c>
      <c r="R1119" s="32" t="s">
        <v>1757</v>
      </c>
      <c r="S1119" s="32">
        <v>1199</v>
      </c>
      <c r="T1119" s="32" t="s">
        <v>316</v>
      </c>
      <c r="U1119" s="32">
        <v>1199</v>
      </c>
      <c r="V1119" s="32" t="s">
        <v>316</v>
      </c>
      <c r="X1119" s="32">
        <f t="shared" si="69"/>
        <v>1199</v>
      </c>
      <c r="Y1119" s="32">
        <f>(CPI!$B$112/O1119)*X1119</f>
        <v>1696.7131124508253</v>
      </c>
      <c r="Z1119" s="38" t="s">
        <v>262</v>
      </c>
      <c r="AA1119" s="35" t="s">
        <v>1447</v>
      </c>
      <c r="AB1119" s="32">
        <v>280849</v>
      </c>
      <c r="AC1119" s="32" t="s">
        <v>2637</v>
      </c>
      <c r="AH1119" s="32" t="s">
        <v>411</v>
      </c>
      <c r="AI1119" s="32" t="s">
        <v>1539</v>
      </c>
      <c r="AK1119" s="40" t="s">
        <v>1775</v>
      </c>
      <c r="AL1119" s="32">
        <v>2022</v>
      </c>
      <c r="AM1119" s="32" t="s">
        <v>1776</v>
      </c>
      <c r="AN1119" s="32" t="s">
        <v>1777</v>
      </c>
      <c r="AO1119" s="38" t="s">
        <v>1778</v>
      </c>
      <c r="AP1119" s="35" t="s">
        <v>396</v>
      </c>
    </row>
    <row r="1120" spans="1:42" x14ac:dyDescent="0.2">
      <c r="A1120" s="40">
        <v>118</v>
      </c>
      <c r="B1120" s="40">
        <v>1119</v>
      </c>
      <c r="C1120" s="40" t="s">
        <v>149</v>
      </c>
      <c r="D1120" s="38" t="s">
        <v>148</v>
      </c>
      <c r="E1120" s="32" t="s">
        <v>2183</v>
      </c>
      <c r="F1120" s="32" t="s">
        <v>237</v>
      </c>
      <c r="G1120" s="38" t="s">
        <v>154</v>
      </c>
      <c r="H1120" s="32" t="s">
        <v>242</v>
      </c>
      <c r="I1120" s="32" t="s">
        <v>120</v>
      </c>
      <c r="J1120" s="32" t="s">
        <v>1462</v>
      </c>
      <c r="K1120" s="32" t="s">
        <v>1513</v>
      </c>
      <c r="L1120" s="32" t="s">
        <v>30</v>
      </c>
      <c r="M1120" s="32" t="s">
        <v>30</v>
      </c>
      <c r="N1120" s="40">
        <v>2022</v>
      </c>
      <c r="O1120" s="32">
        <f>VLOOKUP(Data!N822, CPI!$A$2:$B$112, 2, 0)</f>
        <v>215.303</v>
      </c>
      <c r="P1120" s="32" t="s">
        <v>7</v>
      </c>
      <c r="Q1120" s="32" t="s">
        <v>239</v>
      </c>
      <c r="R1120" s="32" t="s">
        <v>1758</v>
      </c>
      <c r="S1120" s="32">
        <v>1142</v>
      </c>
      <c r="T1120" s="32" t="s">
        <v>316</v>
      </c>
      <c r="U1120" s="32">
        <v>1142</v>
      </c>
      <c r="V1120" s="32" t="s">
        <v>316</v>
      </c>
      <c r="X1120" s="32">
        <f t="shared" si="69"/>
        <v>1142</v>
      </c>
      <c r="Y1120" s="32">
        <f>(CPI!$B$112/O1120)*X1120</f>
        <v>1616.0520220340636</v>
      </c>
      <c r="Z1120" s="38" t="s">
        <v>262</v>
      </c>
      <c r="AA1120" s="35" t="s">
        <v>1447</v>
      </c>
      <c r="AB1120" s="32">
        <v>280849</v>
      </c>
      <c r="AC1120" s="32" t="s">
        <v>2637</v>
      </c>
      <c r="AH1120" s="32" t="s">
        <v>411</v>
      </c>
      <c r="AI1120" s="32" t="s">
        <v>1539</v>
      </c>
      <c r="AK1120" s="40" t="s">
        <v>1775</v>
      </c>
      <c r="AL1120" s="32">
        <v>2022</v>
      </c>
      <c r="AM1120" s="32" t="s">
        <v>1776</v>
      </c>
      <c r="AN1120" s="32" t="s">
        <v>1777</v>
      </c>
      <c r="AO1120" s="38" t="s">
        <v>1778</v>
      </c>
      <c r="AP1120" s="35" t="s">
        <v>396</v>
      </c>
    </row>
    <row r="1121" spans="1:42" x14ac:dyDescent="0.2">
      <c r="A1121" s="40">
        <v>118</v>
      </c>
      <c r="B1121" s="40">
        <v>1120</v>
      </c>
      <c r="C1121" s="40" t="s">
        <v>149</v>
      </c>
      <c r="D1121" s="38" t="s">
        <v>148</v>
      </c>
      <c r="E1121" s="32" t="s">
        <v>2183</v>
      </c>
      <c r="F1121" s="32" t="s">
        <v>237</v>
      </c>
      <c r="G1121" s="38" t="s">
        <v>154</v>
      </c>
      <c r="H1121" s="32" t="s">
        <v>242</v>
      </c>
      <c r="I1121" s="32" t="s">
        <v>120</v>
      </c>
      <c r="J1121" s="32" t="s">
        <v>1462</v>
      </c>
      <c r="K1121" s="32" t="s">
        <v>1513</v>
      </c>
      <c r="L1121" s="32" t="s">
        <v>30</v>
      </c>
      <c r="M1121" s="32" t="s">
        <v>30</v>
      </c>
      <c r="N1121" s="40">
        <v>2022</v>
      </c>
      <c r="O1121" s="32">
        <f>VLOOKUP(Data!N823, CPI!$A$2:$B$112, 2, 0)</f>
        <v>215.303</v>
      </c>
      <c r="P1121" s="32" t="s">
        <v>7</v>
      </c>
      <c r="Q1121" s="32" t="s">
        <v>239</v>
      </c>
      <c r="R1121" s="32" t="s">
        <v>1759</v>
      </c>
      <c r="S1121" s="32">
        <v>2118</v>
      </c>
      <c r="T1121" s="32" t="s">
        <v>316</v>
      </c>
      <c r="U1121" s="32">
        <v>2118</v>
      </c>
      <c r="V1121" s="32" t="s">
        <v>316</v>
      </c>
      <c r="X1121" s="32">
        <f t="shared" si="69"/>
        <v>2118</v>
      </c>
      <c r="Y1121" s="32">
        <f>(CPI!$B$112/O1121)*X1121</f>
        <v>2997.1963070649272</v>
      </c>
      <c r="Z1121" s="38" t="s">
        <v>262</v>
      </c>
      <c r="AA1121" s="35" t="s">
        <v>1447</v>
      </c>
      <c r="AB1121" s="32">
        <v>280849</v>
      </c>
      <c r="AC1121" s="32" t="s">
        <v>2637</v>
      </c>
      <c r="AH1121" s="32" t="s">
        <v>411</v>
      </c>
      <c r="AI1121" s="32" t="s">
        <v>1539</v>
      </c>
      <c r="AK1121" s="40" t="s">
        <v>1775</v>
      </c>
      <c r="AL1121" s="32">
        <v>2022</v>
      </c>
      <c r="AM1121" s="32" t="s">
        <v>1776</v>
      </c>
      <c r="AN1121" s="32" t="s">
        <v>1777</v>
      </c>
      <c r="AO1121" s="38" t="s">
        <v>1778</v>
      </c>
      <c r="AP1121" s="35" t="s">
        <v>396</v>
      </c>
    </row>
    <row r="1122" spans="1:42" x14ac:dyDescent="0.2">
      <c r="A1122" s="40">
        <v>118</v>
      </c>
      <c r="B1122" s="40">
        <v>1121</v>
      </c>
      <c r="C1122" s="40" t="s">
        <v>149</v>
      </c>
      <c r="D1122" s="38" t="s">
        <v>148</v>
      </c>
      <c r="E1122" s="32" t="s">
        <v>2183</v>
      </c>
      <c r="F1122" s="32" t="s">
        <v>237</v>
      </c>
      <c r="G1122" s="38" t="s">
        <v>154</v>
      </c>
      <c r="H1122" s="32" t="s">
        <v>242</v>
      </c>
      <c r="I1122" s="32" t="s">
        <v>120</v>
      </c>
      <c r="J1122" s="32" t="s">
        <v>1462</v>
      </c>
      <c r="K1122" s="32" t="s">
        <v>1513</v>
      </c>
      <c r="L1122" s="32" t="s">
        <v>30</v>
      </c>
      <c r="M1122" s="32" t="s">
        <v>30</v>
      </c>
      <c r="N1122" s="40">
        <v>2022</v>
      </c>
      <c r="O1122" s="32">
        <f>VLOOKUP(Data!N824, CPI!$A$2:$B$112, 2, 0)</f>
        <v>215.303</v>
      </c>
      <c r="P1122" s="32" t="s">
        <v>7</v>
      </c>
      <c r="Q1122" s="32" t="s">
        <v>239</v>
      </c>
      <c r="R1122" s="32" t="s">
        <v>1760</v>
      </c>
      <c r="S1122" s="32">
        <v>1053</v>
      </c>
      <c r="T1122" s="32" t="s">
        <v>316</v>
      </c>
      <c r="U1122" s="32">
        <v>1053</v>
      </c>
      <c r="V1122" s="32" t="s">
        <v>316</v>
      </c>
      <c r="X1122" s="32">
        <f t="shared" si="69"/>
        <v>1053</v>
      </c>
      <c r="Y1122" s="32">
        <f>(CPI!$B$112/O1122)*X1122</f>
        <v>1490.1075124359625</v>
      </c>
      <c r="Z1122" s="38" t="s">
        <v>262</v>
      </c>
      <c r="AA1122" s="35" t="s">
        <v>1447</v>
      </c>
      <c r="AB1122" s="32">
        <v>280849</v>
      </c>
      <c r="AC1122" s="32" t="s">
        <v>2637</v>
      </c>
      <c r="AH1122" s="32" t="s">
        <v>411</v>
      </c>
      <c r="AI1122" s="32" t="s">
        <v>1539</v>
      </c>
      <c r="AK1122" s="40" t="s">
        <v>1775</v>
      </c>
      <c r="AL1122" s="32">
        <v>2022</v>
      </c>
      <c r="AM1122" s="32" t="s">
        <v>1776</v>
      </c>
      <c r="AN1122" s="32" t="s">
        <v>1777</v>
      </c>
      <c r="AO1122" s="38" t="s">
        <v>1778</v>
      </c>
      <c r="AP1122" s="35" t="s">
        <v>396</v>
      </c>
    </row>
    <row r="1123" spans="1:42" x14ac:dyDescent="0.2">
      <c r="A1123" s="40">
        <v>118</v>
      </c>
      <c r="B1123" s="40">
        <v>1122</v>
      </c>
      <c r="C1123" s="40" t="s">
        <v>149</v>
      </c>
      <c r="D1123" s="38" t="s">
        <v>148</v>
      </c>
      <c r="E1123" s="32" t="s">
        <v>2183</v>
      </c>
      <c r="F1123" s="32" t="s">
        <v>237</v>
      </c>
      <c r="G1123" s="38" t="s">
        <v>154</v>
      </c>
      <c r="H1123" s="32" t="s">
        <v>242</v>
      </c>
      <c r="I1123" s="32" t="s">
        <v>120</v>
      </c>
      <c r="J1123" s="32" t="s">
        <v>1462</v>
      </c>
      <c r="K1123" s="32" t="s">
        <v>1513</v>
      </c>
      <c r="L1123" s="32" t="s">
        <v>30</v>
      </c>
      <c r="M1123" s="32" t="s">
        <v>30</v>
      </c>
      <c r="N1123" s="40">
        <v>2022</v>
      </c>
      <c r="O1123" s="32">
        <f>VLOOKUP(Data!N825, CPI!$A$2:$B$112, 2, 0)</f>
        <v>215.303</v>
      </c>
      <c r="P1123" s="32" t="s">
        <v>7</v>
      </c>
      <c r="Q1123" s="32" t="s">
        <v>239</v>
      </c>
      <c r="R1123" s="32" t="s">
        <v>1761</v>
      </c>
      <c r="S1123" s="32">
        <v>1257</v>
      </c>
      <c r="T1123" s="32" t="s">
        <v>316</v>
      </c>
      <c r="U1123" s="32">
        <v>1257</v>
      </c>
      <c r="V1123" s="32" t="s">
        <v>316</v>
      </c>
      <c r="X1123" s="32">
        <f t="shared" si="69"/>
        <v>1257</v>
      </c>
      <c r="Y1123" s="32">
        <f>(CPI!$B$112/O1123)*X1123</f>
        <v>1778.7893097170036</v>
      </c>
      <c r="Z1123" s="38" t="s">
        <v>262</v>
      </c>
      <c r="AA1123" s="35" t="s">
        <v>1446</v>
      </c>
      <c r="AB1123" s="32">
        <v>280849</v>
      </c>
      <c r="AC1123" s="32" t="s">
        <v>2637</v>
      </c>
      <c r="AH1123" s="32" t="s">
        <v>411</v>
      </c>
      <c r="AI1123" s="32" t="s">
        <v>1539</v>
      </c>
      <c r="AK1123" s="40" t="s">
        <v>1775</v>
      </c>
      <c r="AL1123" s="32">
        <v>2022</v>
      </c>
      <c r="AM1123" s="32" t="s">
        <v>1776</v>
      </c>
      <c r="AN1123" s="32" t="s">
        <v>1777</v>
      </c>
      <c r="AO1123" s="38" t="s">
        <v>1778</v>
      </c>
      <c r="AP1123" s="35" t="s">
        <v>396</v>
      </c>
    </row>
    <row r="1124" spans="1:42" x14ac:dyDescent="0.2">
      <c r="A1124" s="40">
        <v>118</v>
      </c>
      <c r="B1124" s="40">
        <v>1123</v>
      </c>
      <c r="C1124" s="40" t="s">
        <v>149</v>
      </c>
      <c r="D1124" s="38" t="s">
        <v>148</v>
      </c>
      <c r="E1124" s="32" t="s">
        <v>2183</v>
      </c>
      <c r="F1124" s="32" t="s">
        <v>237</v>
      </c>
      <c r="G1124" s="38" t="s">
        <v>154</v>
      </c>
      <c r="H1124" s="32" t="s">
        <v>242</v>
      </c>
      <c r="I1124" s="32" t="s">
        <v>120</v>
      </c>
      <c r="J1124" s="32" t="s">
        <v>1462</v>
      </c>
      <c r="K1124" s="32" t="s">
        <v>1513</v>
      </c>
      <c r="L1124" s="32" t="s">
        <v>30</v>
      </c>
      <c r="M1124" s="32" t="s">
        <v>30</v>
      </c>
      <c r="N1124" s="40">
        <v>2022</v>
      </c>
      <c r="O1124" s="32">
        <f>VLOOKUP(Data!N826, CPI!$A$2:$B$112, 2, 0)</f>
        <v>215.303</v>
      </c>
      <c r="P1124" s="32" t="s">
        <v>7</v>
      </c>
      <c r="Q1124" s="32" t="s">
        <v>239</v>
      </c>
      <c r="R1124" s="32" t="s">
        <v>1762</v>
      </c>
      <c r="S1124" s="32">
        <v>8855</v>
      </c>
      <c r="T1124" s="32" t="s">
        <v>316</v>
      </c>
      <c r="U1124" s="32">
        <v>8855</v>
      </c>
      <c r="V1124" s="32" t="s">
        <v>316</v>
      </c>
      <c r="X1124" s="32">
        <f t="shared" si="69"/>
        <v>8855</v>
      </c>
      <c r="Y1124" s="32">
        <f>(CPI!$B$112/O1124)*X1124</f>
        <v>12530.77115158637</v>
      </c>
      <c r="Z1124" s="38" t="s">
        <v>262</v>
      </c>
      <c r="AA1124" s="35" t="s">
        <v>1446</v>
      </c>
      <c r="AB1124" s="32">
        <v>280849</v>
      </c>
      <c r="AC1124" s="32" t="s">
        <v>2637</v>
      </c>
      <c r="AH1124" s="32" t="s">
        <v>411</v>
      </c>
      <c r="AI1124" s="32" t="s">
        <v>1539</v>
      </c>
      <c r="AK1124" s="40" t="s">
        <v>1775</v>
      </c>
      <c r="AL1124" s="32">
        <v>2022</v>
      </c>
      <c r="AM1124" s="32" t="s">
        <v>1776</v>
      </c>
      <c r="AN1124" s="32" t="s">
        <v>1777</v>
      </c>
      <c r="AO1124" s="38" t="s">
        <v>1778</v>
      </c>
      <c r="AP1124" s="35" t="s">
        <v>396</v>
      </c>
    </row>
    <row r="1125" spans="1:42" x14ac:dyDescent="0.2">
      <c r="A1125" s="40">
        <v>118</v>
      </c>
      <c r="B1125" s="40">
        <v>1124</v>
      </c>
      <c r="C1125" s="40" t="s">
        <v>149</v>
      </c>
      <c r="D1125" s="38" t="s">
        <v>148</v>
      </c>
      <c r="E1125" s="32" t="s">
        <v>2183</v>
      </c>
      <c r="F1125" s="32" t="s">
        <v>237</v>
      </c>
      <c r="G1125" s="38" t="s">
        <v>154</v>
      </c>
      <c r="H1125" s="32" t="s">
        <v>242</v>
      </c>
      <c r="I1125" s="32" t="s">
        <v>120</v>
      </c>
      <c r="J1125" s="32" t="s">
        <v>1462</v>
      </c>
      <c r="K1125" s="32" t="s">
        <v>1513</v>
      </c>
      <c r="L1125" s="32" t="s">
        <v>30</v>
      </c>
      <c r="M1125" s="32" t="s">
        <v>30</v>
      </c>
      <c r="N1125" s="40">
        <v>2022</v>
      </c>
      <c r="O1125" s="32">
        <f>VLOOKUP(Data!N827, CPI!$A$2:$B$112, 2, 0)</f>
        <v>215.303</v>
      </c>
      <c r="P1125" s="32" t="s">
        <v>7</v>
      </c>
      <c r="Q1125" s="32" t="s">
        <v>239</v>
      </c>
      <c r="R1125" s="32" t="s">
        <v>1763</v>
      </c>
      <c r="S1125" s="32">
        <v>1132</v>
      </c>
      <c r="T1125" s="32" t="s">
        <v>316</v>
      </c>
      <c r="U1125" s="32">
        <v>1132</v>
      </c>
      <c r="V1125" s="32" t="s">
        <v>316</v>
      </c>
      <c r="X1125" s="32">
        <f t="shared" si="69"/>
        <v>1132</v>
      </c>
      <c r="Y1125" s="32">
        <f>(CPI!$B$112/O1125)*X1125</f>
        <v>1601.900953539895</v>
      </c>
      <c r="Z1125" s="38" t="s">
        <v>262</v>
      </c>
      <c r="AA1125" s="35" t="s">
        <v>1446</v>
      </c>
      <c r="AB1125" s="32">
        <v>280849</v>
      </c>
      <c r="AC1125" s="32" t="s">
        <v>2637</v>
      </c>
      <c r="AH1125" s="32" t="s">
        <v>411</v>
      </c>
      <c r="AI1125" s="32" t="s">
        <v>1539</v>
      </c>
      <c r="AK1125" s="40" t="s">
        <v>1775</v>
      </c>
      <c r="AL1125" s="32">
        <v>2022</v>
      </c>
      <c r="AM1125" s="32" t="s">
        <v>1776</v>
      </c>
      <c r="AN1125" s="32" t="s">
        <v>1777</v>
      </c>
      <c r="AO1125" s="38" t="s">
        <v>1778</v>
      </c>
      <c r="AP1125" s="35" t="s">
        <v>396</v>
      </c>
    </row>
    <row r="1126" spans="1:42" x14ac:dyDescent="0.2">
      <c r="A1126" s="40">
        <v>118</v>
      </c>
      <c r="B1126" s="40">
        <v>1125</v>
      </c>
      <c r="C1126" s="40" t="s">
        <v>149</v>
      </c>
      <c r="D1126" s="38" t="s">
        <v>148</v>
      </c>
      <c r="E1126" s="32" t="s">
        <v>2183</v>
      </c>
      <c r="F1126" s="32" t="s">
        <v>237</v>
      </c>
      <c r="G1126" s="38" t="s">
        <v>154</v>
      </c>
      <c r="H1126" s="32" t="s">
        <v>242</v>
      </c>
      <c r="I1126" s="32" t="s">
        <v>120</v>
      </c>
      <c r="J1126" s="32" t="s">
        <v>1462</v>
      </c>
      <c r="K1126" s="32" t="s">
        <v>1513</v>
      </c>
      <c r="L1126" s="32" t="s">
        <v>30</v>
      </c>
      <c r="M1126" s="32" t="s">
        <v>30</v>
      </c>
      <c r="N1126" s="40">
        <v>2022</v>
      </c>
      <c r="O1126" s="32">
        <f>VLOOKUP(Data!N828, CPI!$A$2:$B$112, 2, 0)</f>
        <v>215.303</v>
      </c>
      <c r="P1126" s="32" t="s">
        <v>7</v>
      </c>
      <c r="Q1126" s="32" t="s">
        <v>239</v>
      </c>
      <c r="R1126" s="32" t="s">
        <v>1764</v>
      </c>
      <c r="S1126" s="32">
        <v>1275</v>
      </c>
      <c r="T1126" s="32" t="s">
        <v>316</v>
      </c>
      <c r="U1126" s="32">
        <v>1275</v>
      </c>
      <c r="V1126" s="32" t="s">
        <v>316</v>
      </c>
      <c r="X1126" s="32">
        <f t="shared" si="69"/>
        <v>1275</v>
      </c>
      <c r="Y1126" s="32">
        <f>(CPI!$B$112/O1126)*X1126</f>
        <v>1804.2612330065072</v>
      </c>
      <c r="Z1126" s="38" t="s">
        <v>262</v>
      </c>
      <c r="AA1126" s="35" t="s">
        <v>1446</v>
      </c>
      <c r="AB1126" s="32">
        <v>280849</v>
      </c>
      <c r="AC1126" s="32" t="s">
        <v>2637</v>
      </c>
      <c r="AH1126" s="32" t="s">
        <v>411</v>
      </c>
      <c r="AI1126" s="32" t="s">
        <v>1539</v>
      </c>
      <c r="AK1126" s="40" t="s">
        <v>1775</v>
      </c>
      <c r="AL1126" s="32">
        <v>2022</v>
      </c>
      <c r="AM1126" s="32" t="s">
        <v>1776</v>
      </c>
      <c r="AN1126" s="32" t="s">
        <v>1777</v>
      </c>
      <c r="AO1126" s="38" t="s">
        <v>1778</v>
      </c>
      <c r="AP1126" s="35" t="s">
        <v>396</v>
      </c>
    </row>
    <row r="1127" spans="1:42" x14ac:dyDescent="0.2">
      <c r="A1127" s="40">
        <v>118</v>
      </c>
      <c r="B1127" s="40">
        <v>1126</v>
      </c>
      <c r="C1127" s="40" t="s">
        <v>149</v>
      </c>
      <c r="D1127" s="38" t="s">
        <v>148</v>
      </c>
      <c r="E1127" s="32" t="s">
        <v>2183</v>
      </c>
      <c r="F1127" s="32" t="s">
        <v>237</v>
      </c>
      <c r="G1127" s="38" t="s">
        <v>154</v>
      </c>
      <c r="H1127" s="32" t="s">
        <v>242</v>
      </c>
      <c r="I1127" s="32" t="s">
        <v>120</v>
      </c>
      <c r="J1127" s="32" t="s">
        <v>1462</v>
      </c>
      <c r="K1127" s="32" t="s">
        <v>1513</v>
      </c>
      <c r="L1127" s="32" t="s">
        <v>30</v>
      </c>
      <c r="M1127" s="32" t="s">
        <v>30</v>
      </c>
      <c r="N1127" s="40">
        <v>2022</v>
      </c>
      <c r="O1127" s="32">
        <f>VLOOKUP(Data!N829, CPI!$A$2:$B$112, 2, 0)</f>
        <v>179.9</v>
      </c>
      <c r="P1127" s="32" t="s">
        <v>7</v>
      </c>
      <c r="Q1127" s="32" t="s">
        <v>239</v>
      </c>
      <c r="R1127" s="32" t="s">
        <v>1765</v>
      </c>
      <c r="S1127" s="32">
        <v>10207</v>
      </c>
      <c r="T1127" s="32" t="s">
        <v>316</v>
      </c>
      <c r="U1127" s="32">
        <v>10207</v>
      </c>
      <c r="V1127" s="32" t="s">
        <v>316</v>
      </c>
      <c r="X1127" s="32">
        <f t="shared" si="69"/>
        <v>10207</v>
      </c>
      <c r="Y1127" s="32">
        <f>(CPI!$B$112/O1127)*X1127</f>
        <v>17286.467966926069</v>
      </c>
      <c r="Z1127" s="38" t="s">
        <v>262</v>
      </c>
      <c r="AA1127" s="35" t="s">
        <v>1446</v>
      </c>
      <c r="AB1127" s="32">
        <v>280849</v>
      </c>
      <c r="AC1127" s="32" t="s">
        <v>2637</v>
      </c>
      <c r="AH1127" s="32" t="s">
        <v>411</v>
      </c>
      <c r="AI1127" s="32" t="s">
        <v>1539</v>
      </c>
      <c r="AK1127" s="40" t="s">
        <v>1775</v>
      </c>
      <c r="AL1127" s="32">
        <v>2022</v>
      </c>
      <c r="AM1127" s="32" t="s">
        <v>1776</v>
      </c>
      <c r="AN1127" s="32" t="s">
        <v>1777</v>
      </c>
      <c r="AO1127" s="38" t="s">
        <v>1778</v>
      </c>
      <c r="AP1127" s="35" t="s">
        <v>396</v>
      </c>
    </row>
    <row r="1128" spans="1:42" x14ac:dyDescent="0.2">
      <c r="A1128" s="40">
        <v>118</v>
      </c>
      <c r="B1128" s="40">
        <v>1127</v>
      </c>
      <c r="C1128" s="40" t="s">
        <v>149</v>
      </c>
      <c r="D1128" s="38" t="s">
        <v>148</v>
      </c>
      <c r="E1128" s="32" t="s">
        <v>2183</v>
      </c>
      <c r="F1128" s="32" t="s">
        <v>237</v>
      </c>
      <c r="G1128" s="38" t="s">
        <v>154</v>
      </c>
      <c r="H1128" s="32" t="s">
        <v>242</v>
      </c>
      <c r="I1128" s="32" t="s">
        <v>120</v>
      </c>
      <c r="J1128" s="32" t="s">
        <v>1462</v>
      </c>
      <c r="K1128" s="32" t="s">
        <v>1513</v>
      </c>
      <c r="L1128" s="32" t="s">
        <v>30</v>
      </c>
      <c r="M1128" s="32" t="s">
        <v>30</v>
      </c>
      <c r="N1128" s="40">
        <v>2022</v>
      </c>
      <c r="O1128" s="32">
        <f>VLOOKUP(Data!N830, CPI!$A$2:$B$112, 2, 0)</f>
        <v>179.9</v>
      </c>
      <c r="P1128" s="32" t="s">
        <v>7</v>
      </c>
      <c r="Q1128" s="32" t="s">
        <v>239</v>
      </c>
      <c r="R1128" s="32" t="s">
        <v>1766</v>
      </c>
      <c r="S1128" s="32">
        <v>1185</v>
      </c>
      <c r="T1128" s="32" t="s">
        <v>316</v>
      </c>
      <c r="U1128" s="32">
        <v>1185</v>
      </c>
      <c r="V1128" s="32" t="s">
        <v>316</v>
      </c>
      <c r="X1128" s="32">
        <f t="shared" si="69"/>
        <v>1185</v>
      </c>
      <c r="Y1128" s="32">
        <f>(CPI!$B$112/O1128)*X1128</f>
        <v>2006.9035505836578</v>
      </c>
      <c r="Z1128" s="38" t="s">
        <v>262</v>
      </c>
      <c r="AA1128" s="35" t="s">
        <v>1446</v>
      </c>
      <c r="AB1128" s="32">
        <v>280849</v>
      </c>
      <c r="AC1128" s="32" t="s">
        <v>2637</v>
      </c>
      <c r="AH1128" s="32" t="s">
        <v>411</v>
      </c>
      <c r="AI1128" s="32" t="s">
        <v>1539</v>
      </c>
      <c r="AK1128" s="40" t="s">
        <v>1775</v>
      </c>
      <c r="AL1128" s="32">
        <v>2022</v>
      </c>
      <c r="AM1128" s="32" t="s">
        <v>1776</v>
      </c>
      <c r="AN1128" s="32" t="s">
        <v>1777</v>
      </c>
      <c r="AO1128" s="38" t="s">
        <v>1778</v>
      </c>
      <c r="AP1128" s="35" t="s">
        <v>396</v>
      </c>
    </row>
    <row r="1129" spans="1:42" x14ac:dyDescent="0.2">
      <c r="A1129" s="40">
        <v>118</v>
      </c>
      <c r="B1129" s="40">
        <v>1128</v>
      </c>
      <c r="C1129" s="40" t="s">
        <v>149</v>
      </c>
      <c r="D1129" s="38" t="s">
        <v>148</v>
      </c>
      <c r="E1129" s="32" t="s">
        <v>2183</v>
      </c>
      <c r="F1129" s="32" t="s">
        <v>237</v>
      </c>
      <c r="G1129" s="38" t="s">
        <v>154</v>
      </c>
      <c r="H1129" s="32" t="s">
        <v>242</v>
      </c>
      <c r="I1129" s="32" t="s">
        <v>120</v>
      </c>
      <c r="J1129" s="32" t="s">
        <v>1462</v>
      </c>
      <c r="K1129" s="32" t="s">
        <v>1513</v>
      </c>
      <c r="L1129" s="32" t="s">
        <v>30</v>
      </c>
      <c r="M1129" s="32" t="s">
        <v>30</v>
      </c>
      <c r="N1129" s="40">
        <v>2022</v>
      </c>
      <c r="O1129" s="32">
        <f>VLOOKUP(Data!N831, CPI!$A$2:$B$112, 2, 0)</f>
        <v>179.9</v>
      </c>
      <c r="P1129" s="32" t="s">
        <v>7</v>
      </c>
      <c r="Q1129" s="32" t="s">
        <v>239</v>
      </c>
      <c r="R1129" s="32" t="s">
        <v>1767</v>
      </c>
      <c r="S1129" s="32">
        <v>1293</v>
      </c>
      <c r="T1129" s="32" t="s">
        <v>316</v>
      </c>
      <c r="U1129" s="32">
        <v>1293</v>
      </c>
      <c r="V1129" s="32" t="s">
        <v>316</v>
      </c>
      <c r="X1129" s="32">
        <f t="shared" si="69"/>
        <v>1293</v>
      </c>
      <c r="Y1129" s="32">
        <f>(CPI!$B$112/O1129)*X1129</f>
        <v>2189.8112159533075</v>
      </c>
      <c r="Z1129" s="38" t="s">
        <v>262</v>
      </c>
      <c r="AA1129" s="35" t="s">
        <v>1446</v>
      </c>
      <c r="AB1129" s="32">
        <v>280849</v>
      </c>
      <c r="AC1129" s="32" t="s">
        <v>2637</v>
      </c>
      <c r="AH1129" s="32" t="s">
        <v>411</v>
      </c>
      <c r="AI1129" s="32" t="s">
        <v>1539</v>
      </c>
      <c r="AK1129" s="40" t="s">
        <v>1775</v>
      </c>
      <c r="AL1129" s="32">
        <v>2022</v>
      </c>
      <c r="AM1129" s="32" t="s">
        <v>1776</v>
      </c>
      <c r="AN1129" s="32" t="s">
        <v>1777</v>
      </c>
      <c r="AO1129" s="38" t="s">
        <v>1778</v>
      </c>
      <c r="AP1129" s="35" t="s">
        <v>396</v>
      </c>
    </row>
    <row r="1130" spans="1:42" x14ac:dyDescent="0.2">
      <c r="A1130" s="40">
        <v>118</v>
      </c>
      <c r="B1130" s="40">
        <v>1129</v>
      </c>
      <c r="C1130" s="40" t="s">
        <v>149</v>
      </c>
      <c r="D1130" s="38" t="s">
        <v>148</v>
      </c>
      <c r="E1130" s="32" t="s">
        <v>2183</v>
      </c>
      <c r="F1130" s="32" t="s">
        <v>237</v>
      </c>
      <c r="G1130" s="38" t="s">
        <v>154</v>
      </c>
      <c r="H1130" s="32" t="s">
        <v>242</v>
      </c>
      <c r="I1130" s="32" t="s">
        <v>120</v>
      </c>
      <c r="J1130" s="32" t="s">
        <v>1462</v>
      </c>
      <c r="K1130" s="32" t="s">
        <v>1513</v>
      </c>
      <c r="L1130" s="32" t="s">
        <v>30</v>
      </c>
      <c r="M1130" s="32" t="s">
        <v>30</v>
      </c>
      <c r="N1130" s="40">
        <v>2022</v>
      </c>
      <c r="O1130" s="32">
        <f>VLOOKUP(Data!N832, CPI!$A$2:$B$112, 2, 0)</f>
        <v>179.9</v>
      </c>
      <c r="P1130" s="32" t="s">
        <v>7</v>
      </c>
      <c r="Q1130" s="32" t="s">
        <v>239</v>
      </c>
      <c r="R1130" s="32" t="s">
        <v>1768</v>
      </c>
      <c r="S1130" s="32">
        <v>11560</v>
      </c>
      <c r="T1130" s="32" t="s">
        <v>316</v>
      </c>
      <c r="U1130" s="32">
        <v>11560</v>
      </c>
      <c r="V1130" s="32" t="s">
        <v>316</v>
      </c>
      <c r="X1130" s="32">
        <f t="shared" si="69"/>
        <v>11560</v>
      </c>
      <c r="Y1130" s="32">
        <f>(CPI!$B$112/O1130)*X1130</f>
        <v>19577.894552529182</v>
      </c>
      <c r="Z1130" s="38" t="s">
        <v>262</v>
      </c>
      <c r="AA1130" s="35" t="s">
        <v>1446</v>
      </c>
      <c r="AB1130" s="32">
        <v>280849</v>
      </c>
      <c r="AC1130" s="32" t="s">
        <v>2637</v>
      </c>
      <c r="AH1130" s="32" t="s">
        <v>411</v>
      </c>
      <c r="AI1130" s="32" t="s">
        <v>1539</v>
      </c>
      <c r="AK1130" s="40" t="s">
        <v>1775</v>
      </c>
      <c r="AL1130" s="32">
        <v>2022</v>
      </c>
      <c r="AM1130" s="32" t="s">
        <v>1776</v>
      </c>
      <c r="AN1130" s="32" t="s">
        <v>1777</v>
      </c>
      <c r="AO1130" s="38" t="s">
        <v>1778</v>
      </c>
      <c r="AP1130" s="35" t="s">
        <v>396</v>
      </c>
    </row>
    <row r="1131" spans="1:42" x14ac:dyDescent="0.2">
      <c r="A1131" s="40">
        <v>118</v>
      </c>
      <c r="B1131" s="40">
        <v>1130</v>
      </c>
      <c r="C1131" s="40" t="s">
        <v>149</v>
      </c>
      <c r="D1131" s="38" t="s">
        <v>148</v>
      </c>
      <c r="E1131" s="32" t="s">
        <v>2183</v>
      </c>
      <c r="F1131" s="32" t="s">
        <v>237</v>
      </c>
      <c r="G1131" s="38" t="s">
        <v>154</v>
      </c>
      <c r="H1131" s="32" t="s">
        <v>242</v>
      </c>
      <c r="I1131" s="32" t="s">
        <v>120</v>
      </c>
      <c r="J1131" s="32" t="s">
        <v>1462</v>
      </c>
      <c r="K1131" s="32" t="s">
        <v>1513</v>
      </c>
      <c r="L1131" s="32" t="s">
        <v>30</v>
      </c>
      <c r="M1131" s="32" t="s">
        <v>30</v>
      </c>
      <c r="N1131" s="40">
        <v>2022</v>
      </c>
      <c r="O1131" s="32">
        <f>VLOOKUP(Data!N833, CPI!$A$2:$B$112, 2, 0)</f>
        <v>179.9</v>
      </c>
      <c r="P1131" s="32" t="s">
        <v>7</v>
      </c>
      <c r="Q1131" s="32" t="s">
        <v>239</v>
      </c>
      <c r="R1131" s="32" t="s">
        <v>1769</v>
      </c>
      <c r="S1131" s="32">
        <v>1238</v>
      </c>
      <c r="T1131" s="32" t="s">
        <v>316</v>
      </c>
      <c r="U1131" s="32">
        <v>1238</v>
      </c>
      <c r="V1131" s="32" t="s">
        <v>316</v>
      </c>
      <c r="X1131" s="32">
        <f t="shared" si="69"/>
        <v>1238</v>
      </c>
      <c r="Y1131" s="32">
        <f>(CPI!$B$112/O1131)*X1131</f>
        <v>2096.6637937743189</v>
      </c>
      <c r="Z1131" s="38" t="s">
        <v>262</v>
      </c>
      <c r="AA1131" s="35" t="s">
        <v>1446</v>
      </c>
      <c r="AB1131" s="32">
        <v>280849</v>
      </c>
      <c r="AC1131" s="32" t="s">
        <v>2637</v>
      </c>
      <c r="AH1131" s="32" t="s">
        <v>411</v>
      </c>
      <c r="AI1131" s="32" t="s">
        <v>1539</v>
      </c>
      <c r="AK1131" s="40" t="s">
        <v>1775</v>
      </c>
      <c r="AL1131" s="32">
        <v>2022</v>
      </c>
      <c r="AM1131" s="32" t="s">
        <v>1776</v>
      </c>
      <c r="AN1131" s="32" t="s">
        <v>1777</v>
      </c>
      <c r="AO1131" s="38" t="s">
        <v>1778</v>
      </c>
      <c r="AP1131" s="35" t="s">
        <v>396</v>
      </c>
    </row>
    <row r="1132" spans="1:42" x14ac:dyDescent="0.2">
      <c r="A1132" s="40">
        <v>118</v>
      </c>
      <c r="B1132" s="40">
        <v>1131</v>
      </c>
      <c r="C1132" s="40" t="s">
        <v>149</v>
      </c>
      <c r="D1132" s="38" t="s">
        <v>148</v>
      </c>
      <c r="E1132" s="32" t="s">
        <v>2183</v>
      </c>
      <c r="F1132" s="32" t="s">
        <v>237</v>
      </c>
      <c r="G1132" s="38" t="s">
        <v>154</v>
      </c>
      <c r="H1132" s="32" t="s">
        <v>242</v>
      </c>
      <c r="I1132" s="32" t="s">
        <v>120</v>
      </c>
      <c r="J1132" s="32" t="s">
        <v>1462</v>
      </c>
      <c r="K1132" s="32" t="s">
        <v>1513</v>
      </c>
      <c r="L1132" s="32" t="s">
        <v>30</v>
      </c>
      <c r="M1132" s="32" t="s">
        <v>30</v>
      </c>
      <c r="N1132" s="40">
        <v>2022</v>
      </c>
      <c r="O1132" s="32">
        <f>VLOOKUP(Data!N834, CPI!$A$2:$B$112, 2, 0)</f>
        <v>179.9</v>
      </c>
      <c r="P1132" s="32" t="s">
        <v>7</v>
      </c>
      <c r="Q1132" s="32" t="s">
        <v>239</v>
      </c>
      <c r="R1132" s="32" t="s">
        <v>1770</v>
      </c>
      <c r="S1132" s="32">
        <v>1301</v>
      </c>
      <c r="T1132" s="32" t="s">
        <v>316</v>
      </c>
      <c r="U1132" s="32">
        <v>1301</v>
      </c>
      <c r="V1132" s="32" t="s">
        <v>316</v>
      </c>
      <c r="X1132" s="32">
        <f t="shared" si="69"/>
        <v>1301</v>
      </c>
      <c r="Y1132" s="32">
        <f>(CPI!$B$112/O1132)*X1132</f>
        <v>2203.3599319066147</v>
      </c>
      <c r="Z1132" s="38" t="s">
        <v>262</v>
      </c>
      <c r="AA1132" s="35" t="s">
        <v>1446</v>
      </c>
      <c r="AB1132" s="32">
        <v>280849</v>
      </c>
      <c r="AC1132" s="32" t="s">
        <v>2637</v>
      </c>
      <c r="AH1132" s="32" t="s">
        <v>411</v>
      </c>
      <c r="AI1132" s="32" t="s">
        <v>1539</v>
      </c>
      <c r="AK1132" s="40" t="s">
        <v>1775</v>
      </c>
      <c r="AL1132" s="32">
        <v>2022</v>
      </c>
      <c r="AM1132" s="32" t="s">
        <v>1776</v>
      </c>
      <c r="AN1132" s="32" t="s">
        <v>1777</v>
      </c>
      <c r="AO1132" s="38" t="s">
        <v>1778</v>
      </c>
      <c r="AP1132" s="35" t="s">
        <v>396</v>
      </c>
    </row>
    <row r="1133" spans="1:42" x14ac:dyDescent="0.2">
      <c r="A1133" s="40">
        <v>118</v>
      </c>
      <c r="B1133" s="40">
        <v>1132</v>
      </c>
      <c r="C1133" s="40" t="s">
        <v>149</v>
      </c>
      <c r="D1133" s="38" t="s">
        <v>148</v>
      </c>
      <c r="E1133" s="32" t="s">
        <v>2183</v>
      </c>
      <c r="F1133" s="32" t="s">
        <v>237</v>
      </c>
      <c r="G1133" s="38" t="s">
        <v>154</v>
      </c>
      <c r="H1133" s="32" t="s">
        <v>242</v>
      </c>
      <c r="I1133" s="32" t="s">
        <v>120</v>
      </c>
      <c r="J1133" s="32" t="s">
        <v>1462</v>
      </c>
      <c r="K1133" s="32" t="s">
        <v>1513</v>
      </c>
      <c r="L1133" s="32" t="s">
        <v>30</v>
      </c>
      <c r="M1133" s="32" t="s">
        <v>30</v>
      </c>
      <c r="N1133" s="40">
        <v>2022</v>
      </c>
      <c r="O1133" s="32">
        <f>VLOOKUP(Data!N835, CPI!$A$2:$B$112, 2, 0)</f>
        <v>179.9</v>
      </c>
      <c r="P1133" s="32" t="s">
        <v>7</v>
      </c>
      <c r="Q1133" s="32" t="s">
        <v>239</v>
      </c>
      <c r="R1133" s="32" t="s">
        <v>1771</v>
      </c>
      <c r="S1133" s="32">
        <v>12236</v>
      </c>
      <c r="T1133" s="32" t="s">
        <v>316</v>
      </c>
      <c r="U1133" s="32">
        <v>12236</v>
      </c>
      <c r="V1133" s="32" t="s">
        <v>316</v>
      </c>
      <c r="X1133" s="32">
        <f t="shared" si="69"/>
        <v>12236</v>
      </c>
      <c r="Y1133" s="32">
        <f>(CPI!$B$112/O1133)*X1133</f>
        <v>20722.76105058366</v>
      </c>
      <c r="Z1133" s="38" t="s">
        <v>262</v>
      </c>
      <c r="AA1133" s="35" t="s">
        <v>1446</v>
      </c>
      <c r="AB1133" s="32">
        <v>280849</v>
      </c>
      <c r="AC1133" s="32" t="s">
        <v>2637</v>
      </c>
      <c r="AH1133" s="32" t="s">
        <v>411</v>
      </c>
      <c r="AI1133" s="32" t="s">
        <v>1539</v>
      </c>
      <c r="AK1133" s="40" t="s">
        <v>1775</v>
      </c>
      <c r="AL1133" s="32">
        <v>2022</v>
      </c>
      <c r="AM1133" s="32" t="s">
        <v>1776</v>
      </c>
      <c r="AN1133" s="32" t="s">
        <v>1777</v>
      </c>
      <c r="AO1133" s="38" t="s">
        <v>1778</v>
      </c>
      <c r="AP1133" s="35" t="s">
        <v>396</v>
      </c>
    </row>
    <row r="1134" spans="1:42" x14ac:dyDescent="0.2">
      <c r="A1134" s="40">
        <v>118</v>
      </c>
      <c r="B1134" s="40">
        <v>1133</v>
      </c>
      <c r="C1134" s="40" t="s">
        <v>149</v>
      </c>
      <c r="D1134" s="38" t="s">
        <v>148</v>
      </c>
      <c r="E1134" s="32" t="s">
        <v>2183</v>
      </c>
      <c r="F1134" s="32" t="s">
        <v>237</v>
      </c>
      <c r="G1134" s="38" t="s">
        <v>154</v>
      </c>
      <c r="H1134" s="32" t="s">
        <v>242</v>
      </c>
      <c r="I1134" s="32" t="s">
        <v>120</v>
      </c>
      <c r="J1134" s="32" t="s">
        <v>1462</v>
      </c>
      <c r="K1134" s="32" t="s">
        <v>1513</v>
      </c>
      <c r="L1134" s="32" t="s">
        <v>30</v>
      </c>
      <c r="M1134" s="32" t="s">
        <v>30</v>
      </c>
      <c r="N1134" s="40">
        <v>2022</v>
      </c>
      <c r="O1134" s="32">
        <f>VLOOKUP(Data!N836, CPI!$A$2:$B$112, 2, 0)</f>
        <v>179.9</v>
      </c>
      <c r="P1134" s="32" t="s">
        <v>7</v>
      </c>
      <c r="Q1134" s="32" t="s">
        <v>239</v>
      </c>
      <c r="R1134" s="32" t="s">
        <v>1772</v>
      </c>
      <c r="S1134" s="32">
        <v>1264</v>
      </c>
      <c r="T1134" s="32" t="s">
        <v>316</v>
      </c>
      <c r="U1134" s="32">
        <v>1264</v>
      </c>
      <c r="V1134" s="32" t="s">
        <v>316</v>
      </c>
      <c r="X1134" s="32">
        <f t="shared" si="69"/>
        <v>1264</v>
      </c>
      <c r="Y1134" s="32">
        <f>(CPI!$B$112/O1134)*X1134</f>
        <v>2140.697120622568</v>
      </c>
      <c r="Z1134" s="38" t="s">
        <v>262</v>
      </c>
      <c r="AA1134" s="35" t="s">
        <v>1446</v>
      </c>
      <c r="AB1134" s="32">
        <v>280849</v>
      </c>
      <c r="AC1134" s="32" t="s">
        <v>2637</v>
      </c>
      <c r="AH1134" s="32" t="s">
        <v>411</v>
      </c>
      <c r="AI1134" s="32" t="s">
        <v>1539</v>
      </c>
      <c r="AK1134" s="40" t="s">
        <v>1775</v>
      </c>
      <c r="AL1134" s="32">
        <v>2022</v>
      </c>
      <c r="AM1134" s="32" t="s">
        <v>1776</v>
      </c>
      <c r="AN1134" s="32" t="s">
        <v>1777</v>
      </c>
      <c r="AO1134" s="38" t="s">
        <v>1778</v>
      </c>
      <c r="AP1134" s="35" t="s">
        <v>396</v>
      </c>
    </row>
    <row r="1135" spans="1:42" x14ac:dyDescent="0.2">
      <c r="A1135" s="40">
        <v>118</v>
      </c>
      <c r="B1135" s="40">
        <v>1134</v>
      </c>
      <c r="C1135" s="40" t="s">
        <v>149</v>
      </c>
      <c r="D1135" s="38" t="s">
        <v>148</v>
      </c>
      <c r="E1135" s="32" t="s">
        <v>2183</v>
      </c>
      <c r="F1135" s="32" t="s">
        <v>237</v>
      </c>
      <c r="G1135" s="38" t="s">
        <v>154</v>
      </c>
      <c r="H1135" s="32" t="s">
        <v>242</v>
      </c>
      <c r="I1135" s="32" t="s">
        <v>120</v>
      </c>
      <c r="J1135" s="32" t="s">
        <v>1462</v>
      </c>
      <c r="K1135" s="32" t="s">
        <v>1513</v>
      </c>
      <c r="L1135" s="32" t="s">
        <v>30</v>
      </c>
      <c r="M1135" s="32" t="s">
        <v>30</v>
      </c>
      <c r="N1135" s="40">
        <v>2022</v>
      </c>
      <c r="O1135" s="32">
        <f>VLOOKUP(Data!N837, CPI!$A$2:$B$112, 2, 0)</f>
        <v>179.9</v>
      </c>
      <c r="P1135" s="32" t="s">
        <v>7</v>
      </c>
      <c r="Q1135" s="32" t="s">
        <v>239</v>
      </c>
      <c r="R1135" s="32" t="s">
        <v>2605</v>
      </c>
      <c r="S1135" s="32">
        <v>1650</v>
      </c>
      <c r="T1135" s="32" t="s">
        <v>316</v>
      </c>
      <c r="U1135" s="32">
        <v>1650</v>
      </c>
      <c r="V1135" s="32" t="s">
        <v>316</v>
      </c>
      <c r="X1135" s="32">
        <f t="shared" si="69"/>
        <v>1650</v>
      </c>
      <c r="Y1135" s="32">
        <f>(CPI!$B$112/O1135)*X1135</f>
        <v>2794.4226653696501</v>
      </c>
      <c r="Z1135" s="38" t="s">
        <v>262</v>
      </c>
      <c r="AA1135" s="35" t="s">
        <v>1447</v>
      </c>
      <c r="AB1135" s="32">
        <v>280849</v>
      </c>
      <c r="AC1135" s="32" t="s">
        <v>2637</v>
      </c>
      <c r="AH1135" s="32" t="s">
        <v>411</v>
      </c>
      <c r="AI1135" s="32" t="s">
        <v>1539</v>
      </c>
      <c r="AK1135" s="40" t="s">
        <v>1775</v>
      </c>
      <c r="AL1135" s="32">
        <v>2022</v>
      </c>
      <c r="AM1135" s="32" t="s">
        <v>1776</v>
      </c>
      <c r="AN1135" s="32" t="s">
        <v>1777</v>
      </c>
      <c r="AO1135" s="38" t="s">
        <v>1778</v>
      </c>
      <c r="AP1135" s="35" t="s">
        <v>396</v>
      </c>
    </row>
    <row r="1136" spans="1:42" x14ac:dyDescent="0.2">
      <c r="A1136" s="40">
        <v>118</v>
      </c>
      <c r="B1136" s="40">
        <v>1135</v>
      </c>
      <c r="C1136" s="40" t="s">
        <v>149</v>
      </c>
      <c r="D1136" s="38" t="s">
        <v>148</v>
      </c>
      <c r="E1136" s="32" t="s">
        <v>2183</v>
      </c>
      <c r="F1136" s="32" t="s">
        <v>237</v>
      </c>
      <c r="G1136" s="38" t="s">
        <v>154</v>
      </c>
      <c r="H1136" s="32" t="s">
        <v>242</v>
      </c>
      <c r="I1136" s="32" t="s">
        <v>120</v>
      </c>
      <c r="J1136" s="32" t="s">
        <v>1462</v>
      </c>
      <c r="K1136" s="32" t="s">
        <v>1513</v>
      </c>
      <c r="L1136" s="32" t="s">
        <v>30</v>
      </c>
      <c r="M1136" s="32" t="s">
        <v>30</v>
      </c>
      <c r="N1136" s="40">
        <v>2022</v>
      </c>
      <c r="O1136" s="32">
        <f>VLOOKUP(Data!N838, CPI!$A$2:$B$112, 2, 0)</f>
        <v>179.9</v>
      </c>
      <c r="P1136" s="32" t="s">
        <v>7</v>
      </c>
      <c r="Q1136" s="32" t="s">
        <v>239</v>
      </c>
      <c r="R1136" s="32" t="s">
        <v>2606</v>
      </c>
      <c r="S1136" s="32">
        <v>1738</v>
      </c>
      <c r="T1136" s="32" t="s">
        <v>316</v>
      </c>
      <c r="U1136" s="32">
        <v>1738</v>
      </c>
      <c r="V1136" s="32" t="s">
        <v>316</v>
      </c>
      <c r="X1136" s="32">
        <f t="shared" si="69"/>
        <v>1738</v>
      </c>
      <c r="Y1136" s="32">
        <f>(CPI!$B$112/O1136)*X1136</f>
        <v>2943.458540856031</v>
      </c>
      <c r="Z1136" s="38" t="s">
        <v>262</v>
      </c>
      <c r="AA1136" s="35" t="s">
        <v>1447</v>
      </c>
      <c r="AB1136" s="32">
        <v>280849</v>
      </c>
      <c r="AC1136" s="32" t="s">
        <v>2637</v>
      </c>
      <c r="AH1136" s="32" t="s">
        <v>411</v>
      </c>
      <c r="AI1136" s="32" t="s">
        <v>1539</v>
      </c>
      <c r="AK1136" s="40" t="s">
        <v>1775</v>
      </c>
      <c r="AL1136" s="32">
        <v>2022</v>
      </c>
      <c r="AM1136" s="32" t="s">
        <v>1776</v>
      </c>
      <c r="AN1136" s="32" t="s">
        <v>1777</v>
      </c>
      <c r="AO1136" s="38" t="s">
        <v>1778</v>
      </c>
      <c r="AP1136" s="35" t="s">
        <v>396</v>
      </c>
    </row>
    <row r="1137" spans="1:42" x14ac:dyDescent="0.2">
      <c r="A1137" s="40">
        <v>118</v>
      </c>
      <c r="B1137" s="40">
        <v>1136</v>
      </c>
      <c r="C1137" s="40" t="s">
        <v>149</v>
      </c>
      <c r="D1137" s="38" t="s">
        <v>148</v>
      </c>
      <c r="E1137" s="32" t="s">
        <v>2183</v>
      </c>
      <c r="F1137" s="32" t="s">
        <v>237</v>
      </c>
      <c r="G1137" s="38" t="s">
        <v>154</v>
      </c>
      <c r="H1137" s="32" t="s">
        <v>242</v>
      </c>
      <c r="I1137" s="32" t="s">
        <v>120</v>
      </c>
      <c r="J1137" s="32" t="s">
        <v>1462</v>
      </c>
      <c r="K1137" s="32" t="s">
        <v>1513</v>
      </c>
      <c r="L1137" s="32" t="s">
        <v>30</v>
      </c>
      <c r="M1137" s="32" t="s">
        <v>30</v>
      </c>
      <c r="N1137" s="40">
        <v>2022</v>
      </c>
      <c r="O1137" s="32">
        <f>VLOOKUP(Data!N839, CPI!$A$2:$B$112, 2, 0)</f>
        <v>179.9</v>
      </c>
      <c r="P1137" s="32" t="s">
        <v>7</v>
      </c>
      <c r="Q1137" s="32" t="s">
        <v>239</v>
      </c>
      <c r="R1137" s="32" t="s">
        <v>2607</v>
      </c>
      <c r="S1137" s="32">
        <v>2062</v>
      </c>
      <c r="T1137" s="32" t="s">
        <v>316</v>
      </c>
      <c r="U1137" s="32">
        <v>2062</v>
      </c>
      <c r="V1137" s="32" t="s">
        <v>316</v>
      </c>
      <c r="X1137" s="32">
        <f t="shared" si="69"/>
        <v>2062</v>
      </c>
      <c r="Y1137" s="32">
        <f>(CPI!$B$112/O1137)*X1137</f>
        <v>3492.1815369649808</v>
      </c>
      <c r="Z1137" s="38" t="s">
        <v>262</v>
      </c>
      <c r="AA1137" s="35" t="s">
        <v>1447</v>
      </c>
      <c r="AB1137" s="32">
        <v>280849</v>
      </c>
      <c r="AC1137" s="32" t="s">
        <v>2637</v>
      </c>
      <c r="AH1137" s="32" t="s">
        <v>411</v>
      </c>
      <c r="AI1137" s="32" t="s">
        <v>1539</v>
      </c>
      <c r="AK1137" s="40" t="s">
        <v>1775</v>
      </c>
      <c r="AL1137" s="32">
        <v>2022</v>
      </c>
      <c r="AM1137" s="32" t="s">
        <v>1776</v>
      </c>
      <c r="AN1137" s="32" t="s">
        <v>1777</v>
      </c>
      <c r="AO1137" s="38" t="s">
        <v>1778</v>
      </c>
      <c r="AP1137" s="35" t="s">
        <v>396</v>
      </c>
    </row>
    <row r="1138" spans="1:42" x14ac:dyDescent="0.2">
      <c r="A1138" s="40">
        <v>118</v>
      </c>
      <c r="B1138" s="40">
        <v>1137</v>
      </c>
      <c r="C1138" s="40" t="s">
        <v>149</v>
      </c>
      <c r="D1138" s="38" t="s">
        <v>148</v>
      </c>
      <c r="E1138" s="32" t="s">
        <v>2183</v>
      </c>
      <c r="F1138" s="32" t="s">
        <v>237</v>
      </c>
      <c r="G1138" s="38" t="s">
        <v>154</v>
      </c>
      <c r="H1138" s="32" t="s">
        <v>242</v>
      </c>
      <c r="I1138" s="32" t="s">
        <v>120</v>
      </c>
      <c r="J1138" s="32" t="s">
        <v>1462</v>
      </c>
      <c r="K1138" s="32" t="s">
        <v>1513</v>
      </c>
      <c r="L1138" s="32" t="s">
        <v>30</v>
      </c>
      <c r="M1138" s="32" t="s">
        <v>30</v>
      </c>
      <c r="N1138" s="40">
        <v>2022</v>
      </c>
      <c r="O1138" s="32">
        <f>VLOOKUP(Data!N840, CPI!$A$2:$B$112, 2, 0)</f>
        <v>179.9</v>
      </c>
      <c r="P1138" s="32" t="s">
        <v>7</v>
      </c>
      <c r="Q1138" s="32" t="s">
        <v>239</v>
      </c>
      <c r="R1138" s="32" t="s">
        <v>2608</v>
      </c>
      <c r="S1138" s="32">
        <v>2900</v>
      </c>
      <c r="T1138" s="32" t="s">
        <v>316</v>
      </c>
      <c r="U1138" s="32">
        <v>2900</v>
      </c>
      <c r="V1138" s="32" t="s">
        <v>316</v>
      </c>
      <c r="X1138" s="32">
        <f t="shared" si="69"/>
        <v>2900</v>
      </c>
      <c r="Y1138" s="32">
        <f>(CPI!$B$112/O1138)*X1138</f>
        <v>4911.4095330739301</v>
      </c>
      <c r="Z1138" s="38" t="s">
        <v>262</v>
      </c>
      <c r="AA1138" s="35" t="s">
        <v>1447</v>
      </c>
      <c r="AB1138" s="32">
        <v>280849</v>
      </c>
      <c r="AC1138" s="32" t="s">
        <v>2637</v>
      </c>
      <c r="AH1138" s="32" t="s">
        <v>411</v>
      </c>
      <c r="AI1138" s="32" t="s">
        <v>1539</v>
      </c>
      <c r="AK1138" s="40" t="s">
        <v>1775</v>
      </c>
      <c r="AL1138" s="32">
        <v>2022</v>
      </c>
      <c r="AM1138" s="32" t="s">
        <v>1776</v>
      </c>
      <c r="AN1138" s="32" t="s">
        <v>1777</v>
      </c>
      <c r="AO1138" s="38" t="s">
        <v>1778</v>
      </c>
      <c r="AP1138" s="35" t="s">
        <v>396</v>
      </c>
    </row>
    <row r="1139" spans="1:42" x14ac:dyDescent="0.2">
      <c r="A1139" s="40">
        <v>118</v>
      </c>
      <c r="B1139" s="40">
        <v>1138</v>
      </c>
      <c r="C1139" s="40" t="s">
        <v>149</v>
      </c>
      <c r="D1139" s="38" t="s">
        <v>148</v>
      </c>
      <c r="E1139" s="32" t="s">
        <v>2183</v>
      </c>
      <c r="F1139" s="32" t="s">
        <v>237</v>
      </c>
      <c r="G1139" s="38" t="s">
        <v>154</v>
      </c>
      <c r="H1139" s="32" t="s">
        <v>242</v>
      </c>
      <c r="I1139" s="32" t="s">
        <v>120</v>
      </c>
      <c r="J1139" s="32" t="s">
        <v>1462</v>
      </c>
      <c r="K1139" s="32" t="s">
        <v>1513</v>
      </c>
      <c r="L1139" s="32" t="s">
        <v>30</v>
      </c>
      <c r="M1139" s="32" t="s">
        <v>30</v>
      </c>
      <c r="N1139" s="40">
        <v>2022</v>
      </c>
      <c r="O1139" s="32">
        <f>VLOOKUP(Data!N841, CPI!$A$2:$B$112, 2, 0)</f>
        <v>179.9</v>
      </c>
      <c r="P1139" s="32" t="s">
        <v>7</v>
      </c>
      <c r="Q1139" s="32" t="s">
        <v>239</v>
      </c>
      <c r="R1139" s="32" t="s">
        <v>2609</v>
      </c>
      <c r="S1139" s="32">
        <v>1514</v>
      </c>
      <c r="T1139" s="32" t="s">
        <v>316</v>
      </c>
      <c r="U1139" s="32">
        <v>1514</v>
      </c>
      <c r="V1139" s="32" t="s">
        <v>316</v>
      </c>
      <c r="X1139" s="32">
        <f t="shared" si="69"/>
        <v>1514</v>
      </c>
      <c r="Y1139" s="32">
        <f>(CPI!$B$112/O1139)*X1139</f>
        <v>2564.0944941634243</v>
      </c>
      <c r="Z1139" s="38" t="s">
        <v>262</v>
      </c>
      <c r="AA1139" s="35" t="s">
        <v>1447</v>
      </c>
      <c r="AB1139" s="32">
        <v>280849</v>
      </c>
      <c r="AC1139" s="32" t="s">
        <v>2637</v>
      </c>
      <c r="AH1139" s="32" t="s">
        <v>411</v>
      </c>
      <c r="AI1139" s="32" t="s">
        <v>1539</v>
      </c>
      <c r="AK1139" s="40" t="s">
        <v>1775</v>
      </c>
      <c r="AL1139" s="32">
        <v>2022</v>
      </c>
      <c r="AM1139" s="32" t="s">
        <v>1776</v>
      </c>
      <c r="AN1139" s="32" t="s">
        <v>1777</v>
      </c>
      <c r="AO1139" s="38" t="s">
        <v>1778</v>
      </c>
      <c r="AP1139" s="35" t="s">
        <v>396</v>
      </c>
    </row>
    <row r="1140" spans="1:42" x14ac:dyDescent="0.2">
      <c r="A1140" s="40">
        <v>118</v>
      </c>
      <c r="B1140" s="40">
        <v>1139</v>
      </c>
      <c r="C1140" s="40" t="s">
        <v>149</v>
      </c>
      <c r="D1140" s="38" t="s">
        <v>148</v>
      </c>
      <c r="E1140" s="32" t="s">
        <v>2183</v>
      </c>
      <c r="F1140" s="32" t="s">
        <v>237</v>
      </c>
      <c r="G1140" s="38" t="s">
        <v>154</v>
      </c>
      <c r="H1140" s="32" t="s">
        <v>242</v>
      </c>
      <c r="I1140" s="32" t="s">
        <v>120</v>
      </c>
      <c r="J1140" s="32" t="s">
        <v>1462</v>
      </c>
      <c r="K1140" s="32" t="s">
        <v>1513</v>
      </c>
      <c r="L1140" s="32" t="s">
        <v>30</v>
      </c>
      <c r="M1140" s="32" t="s">
        <v>30</v>
      </c>
      <c r="N1140" s="40">
        <v>2022</v>
      </c>
      <c r="O1140" s="32">
        <f>VLOOKUP(Data!N842, CPI!$A$2:$B$112, 2, 0)</f>
        <v>179.9</v>
      </c>
      <c r="P1140" s="32" t="s">
        <v>7</v>
      </c>
      <c r="Q1140" s="32" t="s">
        <v>239</v>
      </c>
      <c r="R1140" s="32" t="s">
        <v>2610</v>
      </c>
      <c r="S1140" s="32">
        <v>1650</v>
      </c>
      <c r="T1140" s="32" t="s">
        <v>316</v>
      </c>
      <c r="U1140" s="32">
        <v>1650</v>
      </c>
      <c r="V1140" s="32" t="s">
        <v>316</v>
      </c>
      <c r="X1140" s="32">
        <f t="shared" si="69"/>
        <v>1650</v>
      </c>
      <c r="Y1140" s="32">
        <f>(CPI!$B$112/O1140)*X1140</f>
        <v>2794.4226653696501</v>
      </c>
      <c r="Z1140" s="38" t="s">
        <v>262</v>
      </c>
      <c r="AA1140" s="35" t="s">
        <v>1447</v>
      </c>
      <c r="AB1140" s="32">
        <v>280849</v>
      </c>
      <c r="AC1140" s="32" t="s">
        <v>2637</v>
      </c>
      <c r="AH1140" s="32" t="s">
        <v>411</v>
      </c>
      <c r="AI1140" s="32" t="s">
        <v>1539</v>
      </c>
      <c r="AK1140" s="40" t="s">
        <v>1775</v>
      </c>
      <c r="AL1140" s="32">
        <v>2022</v>
      </c>
      <c r="AM1140" s="32" t="s">
        <v>1776</v>
      </c>
      <c r="AN1140" s="32" t="s">
        <v>1777</v>
      </c>
      <c r="AO1140" s="38" t="s">
        <v>1778</v>
      </c>
      <c r="AP1140" s="35" t="s">
        <v>396</v>
      </c>
    </row>
    <row r="1141" spans="1:42" x14ac:dyDescent="0.2">
      <c r="A1141" s="40">
        <v>118</v>
      </c>
      <c r="B1141" s="40">
        <v>1140</v>
      </c>
      <c r="C1141" s="40" t="s">
        <v>149</v>
      </c>
      <c r="D1141" s="38" t="s">
        <v>148</v>
      </c>
      <c r="E1141" s="32" t="s">
        <v>2183</v>
      </c>
      <c r="F1141" s="32" t="s">
        <v>237</v>
      </c>
      <c r="G1141" s="38" t="s">
        <v>154</v>
      </c>
      <c r="H1141" s="32" t="s">
        <v>242</v>
      </c>
      <c r="I1141" s="32" t="s">
        <v>120</v>
      </c>
      <c r="J1141" s="32" t="s">
        <v>1462</v>
      </c>
      <c r="K1141" s="32" t="s">
        <v>1513</v>
      </c>
      <c r="L1141" s="32" t="s">
        <v>30</v>
      </c>
      <c r="M1141" s="32" t="s">
        <v>30</v>
      </c>
      <c r="N1141" s="40">
        <v>2022</v>
      </c>
      <c r="O1141" s="32">
        <f>VLOOKUP(Data!N843, CPI!$A$2:$B$112, 2, 0)</f>
        <v>179.9</v>
      </c>
      <c r="P1141" s="32" t="s">
        <v>7</v>
      </c>
      <c r="Q1141" s="32" t="s">
        <v>239</v>
      </c>
      <c r="R1141" s="32" t="s">
        <v>2611</v>
      </c>
      <c r="S1141" s="32">
        <v>1738</v>
      </c>
      <c r="T1141" s="32" t="s">
        <v>316</v>
      </c>
      <c r="U1141" s="32">
        <v>1738</v>
      </c>
      <c r="V1141" s="32" t="s">
        <v>316</v>
      </c>
      <c r="X1141" s="32">
        <f t="shared" si="69"/>
        <v>1738</v>
      </c>
      <c r="Y1141" s="32">
        <f>(CPI!$B$112/O1141)*X1141</f>
        <v>2943.458540856031</v>
      </c>
      <c r="Z1141" s="38" t="s">
        <v>262</v>
      </c>
      <c r="AA1141" s="35" t="s">
        <v>1447</v>
      </c>
      <c r="AB1141" s="32">
        <v>280849</v>
      </c>
      <c r="AC1141" s="32" t="s">
        <v>2637</v>
      </c>
      <c r="AH1141" s="32" t="s">
        <v>411</v>
      </c>
      <c r="AI1141" s="32" t="s">
        <v>1539</v>
      </c>
      <c r="AK1141" s="40" t="s">
        <v>1775</v>
      </c>
      <c r="AL1141" s="32">
        <v>2022</v>
      </c>
      <c r="AM1141" s="32" t="s">
        <v>1776</v>
      </c>
      <c r="AN1141" s="32" t="s">
        <v>1777</v>
      </c>
      <c r="AO1141" s="38" t="s">
        <v>1778</v>
      </c>
      <c r="AP1141" s="35" t="s">
        <v>396</v>
      </c>
    </row>
    <row r="1142" spans="1:42" x14ac:dyDescent="0.2">
      <c r="A1142" s="40">
        <v>118</v>
      </c>
      <c r="B1142" s="40">
        <v>1141</v>
      </c>
      <c r="C1142" s="40" t="s">
        <v>149</v>
      </c>
      <c r="D1142" s="38" t="s">
        <v>148</v>
      </c>
      <c r="E1142" s="32" t="s">
        <v>2183</v>
      </c>
      <c r="F1142" s="32" t="s">
        <v>237</v>
      </c>
      <c r="G1142" s="38" t="s">
        <v>154</v>
      </c>
      <c r="H1142" s="32" t="s">
        <v>242</v>
      </c>
      <c r="I1142" s="32" t="s">
        <v>120</v>
      </c>
      <c r="J1142" s="32" t="s">
        <v>1462</v>
      </c>
      <c r="K1142" s="32" t="s">
        <v>1513</v>
      </c>
      <c r="L1142" s="32" t="s">
        <v>30</v>
      </c>
      <c r="M1142" s="32" t="s">
        <v>30</v>
      </c>
      <c r="N1142" s="40">
        <v>2022</v>
      </c>
      <c r="O1142" s="32">
        <f>VLOOKUP(Data!N844, CPI!$A$2:$B$112, 2, 0)</f>
        <v>179.9</v>
      </c>
      <c r="P1142" s="32" t="s">
        <v>7</v>
      </c>
      <c r="Q1142" s="32" t="s">
        <v>239</v>
      </c>
      <c r="R1142" s="32" t="s">
        <v>2612</v>
      </c>
      <c r="S1142" s="32">
        <v>2062</v>
      </c>
      <c r="T1142" s="32" t="s">
        <v>316</v>
      </c>
      <c r="U1142" s="32">
        <v>2062</v>
      </c>
      <c r="V1142" s="32" t="s">
        <v>316</v>
      </c>
      <c r="X1142" s="32">
        <f t="shared" si="69"/>
        <v>2062</v>
      </c>
      <c r="Y1142" s="32">
        <f>(CPI!$B$112/O1142)*X1142</f>
        <v>3492.1815369649808</v>
      </c>
      <c r="Z1142" s="38" t="s">
        <v>262</v>
      </c>
      <c r="AA1142" s="35" t="s">
        <v>1447</v>
      </c>
      <c r="AB1142" s="32">
        <v>280849</v>
      </c>
      <c r="AC1142" s="32" t="s">
        <v>2637</v>
      </c>
      <c r="AH1142" s="32" t="s">
        <v>411</v>
      </c>
      <c r="AI1142" s="32" t="s">
        <v>1539</v>
      </c>
      <c r="AK1142" s="40" t="s">
        <v>1775</v>
      </c>
      <c r="AL1142" s="32">
        <v>2022</v>
      </c>
      <c r="AM1142" s="32" t="s">
        <v>1776</v>
      </c>
      <c r="AN1142" s="32" t="s">
        <v>1777</v>
      </c>
      <c r="AO1142" s="38" t="s">
        <v>1778</v>
      </c>
      <c r="AP1142" s="35" t="s">
        <v>396</v>
      </c>
    </row>
    <row r="1143" spans="1:42" x14ac:dyDescent="0.2">
      <c r="A1143" s="40">
        <v>118</v>
      </c>
      <c r="B1143" s="40">
        <v>1142</v>
      </c>
      <c r="C1143" s="40" t="s">
        <v>149</v>
      </c>
      <c r="D1143" s="38" t="s">
        <v>148</v>
      </c>
      <c r="E1143" s="32" t="s">
        <v>2183</v>
      </c>
      <c r="F1143" s="32" t="s">
        <v>237</v>
      </c>
      <c r="G1143" s="38" t="s">
        <v>154</v>
      </c>
      <c r="H1143" s="32" t="s">
        <v>242</v>
      </c>
      <c r="I1143" s="32" t="s">
        <v>120</v>
      </c>
      <c r="J1143" s="32" t="s">
        <v>1462</v>
      </c>
      <c r="K1143" s="32" t="s">
        <v>1513</v>
      </c>
      <c r="L1143" s="32" t="s">
        <v>30</v>
      </c>
      <c r="M1143" s="32" t="s">
        <v>30</v>
      </c>
      <c r="N1143" s="40">
        <v>2022</v>
      </c>
      <c r="O1143" s="32">
        <f>VLOOKUP(Data!N845, CPI!$A$2:$B$112, 2, 0)</f>
        <v>245.12</v>
      </c>
      <c r="P1143" s="32" t="s">
        <v>7</v>
      </c>
      <c r="Q1143" s="32" t="s">
        <v>239</v>
      </c>
      <c r="R1143" s="32" t="s">
        <v>2613</v>
      </c>
      <c r="S1143" s="32">
        <v>2900</v>
      </c>
      <c r="T1143" s="32" t="s">
        <v>316</v>
      </c>
      <c r="U1143" s="32">
        <v>2900</v>
      </c>
      <c r="V1143" s="32" t="s">
        <v>316</v>
      </c>
      <c r="X1143" s="32">
        <f t="shared" si="69"/>
        <v>2900</v>
      </c>
      <c r="Y1143" s="32">
        <f>(CPI!$B$112/O1143)*X1143</f>
        <v>3604.6123327349869</v>
      </c>
      <c r="Z1143" s="38" t="s">
        <v>262</v>
      </c>
      <c r="AA1143" s="35" t="s">
        <v>1447</v>
      </c>
      <c r="AB1143" s="32">
        <v>280849</v>
      </c>
      <c r="AC1143" s="32" t="s">
        <v>2637</v>
      </c>
      <c r="AH1143" s="32" t="s">
        <v>411</v>
      </c>
      <c r="AI1143" s="32" t="s">
        <v>1539</v>
      </c>
      <c r="AK1143" s="40" t="s">
        <v>1775</v>
      </c>
      <c r="AL1143" s="32">
        <v>2022</v>
      </c>
      <c r="AM1143" s="32" t="s">
        <v>1776</v>
      </c>
      <c r="AN1143" s="32" t="s">
        <v>1777</v>
      </c>
      <c r="AO1143" s="38" t="s">
        <v>1778</v>
      </c>
      <c r="AP1143" s="35" t="s">
        <v>396</v>
      </c>
    </row>
    <row r="1144" spans="1:42" x14ac:dyDescent="0.2">
      <c r="A1144" s="40">
        <v>118</v>
      </c>
      <c r="B1144" s="40">
        <v>1143</v>
      </c>
      <c r="C1144" s="40" t="s">
        <v>149</v>
      </c>
      <c r="D1144" s="38" t="s">
        <v>148</v>
      </c>
      <c r="E1144" s="32" t="s">
        <v>2183</v>
      </c>
      <c r="F1144" s="32" t="s">
        <v>237</v>
      </c>
      <c r="G1144" s="38" t="s">
        <v>154</v>
      </c>
      <c r="H1144" s="32" t="s">
        <v>242</v>
      </c>
      <c r="I1144" s="32" t="s">
        <v>120</v>
      </c>
      <c r="J1144" s="32" t="s">
        <v>1462</v>
      </c>
      <c r="K1144" s="32" t="s">
        <v>1513</v>
      </c>
      <c r="L1144" s="32" t="s">
        <v>30</v>
      </c>
      <c r="M1144" s="32" t="s">
        <v>30</v>
      </c>
      <c r="N1144" s="40">
        <v>2022</v>
      </c>
      <c r="O1144" s="32">
        <f>VLOOKUP(Data!N846, CPI!$A$2:$B$112, 2, 0)</f>
        <v>245.12</v>
      </c>
      <c r="P1144" s="32" t="s">
        <v>7</v>
      </c>
      <c r="Q1144" s="32" t="s">
        <v>239</v>
      </c>
      <c r="R1144" s="32" t="s">
        <v>2614</v>
      </c>
      <c r="S1144" s="32">
        <v>1514</v>
      </c>
      <c r="T1144" s="32" t="s">
        <v>316</v>
      </c>
      <c r="U1144" s="32">
        <v>1514</v>
      </c>
      <c r="V1144" s="32" t="s">
        <v>316</v>
      </c>
      <c r="X1144" s="32">
        <f t="shared" ref="X1144:X1167" si="70">U1144</f>
        <v>1514</v>
      </c>
      <c r="Y1144" s="32">
        <f>(CPI!$B$112/O1144)*X1144</f>
        <v>1881.8562316416449</v>
      </c>
      <c r="Z1144" s="38" t="s">
        <v>262</v>
      </c>
      <c r="AA1144" s="35" t="s">
        <v>1447</v>
      </c>
      <c r="AB1144" s="32">
        <v>280849</v>
      </c>
      <c r="AC1144" s="32" t="s">
        <v>2637</v>
      </c>
      <c r="AH1144" s="32" t="s">
        <v>411</v>
      </c>
      <c r="AI1144" s="32" t="s">
        <v>1539</v>
      </c>
      <c r="AK1144" s="40" t="s">
        <v>1775</v>
      </c>
      <c r="AL1144" s="32">
        <v>2022</v>
      </c>
      <c r="AM1144" s="32" t="s">
        <v>1776</v>
      </c>
      <c r="AN1144" s="32" t="s">
        <v>1777</v>
      </c>
      <c r="AO1144" s="38" t="s">
        <v>1778</v>
      </c>
      <c r="AP1144" s="35" t="s">
        <v>396</v>
      </c>
    </row>
    <row r="1145" spans="1:42" x14ac:dyDescent="0.2">
      <c r="A1145" s="40">
        <v>118</v>
      </c>
      <c r="B1145" s="40">
        <v>1144</v>
      </c>
      <c r="C1145" s="40" t="s">
        <v>149</v>
      </c>
      <c r="D1145" s="38" t="s">
        <v>148</v>
      </c>
      <c r="E1145" s="32" t="s">
        <v>2183</v>
      </c>
      <c r="F1145" s="32" t="s">
        <v>237</v>
      </c>
      <c r="G1145" s="38" t="s">
        <v>154</v>
      </c>
      <c r="H1145" s="32" t="s">
        <v>242</v>
      </c>
      <c r="I1145" s="32" t="s">
        <v>120</v>
      </c>
      <c r="J1145" s="32" t="s">
        <v>1462</v>
      </c>
      <c r="K1145" s="32" t="s">
        <v>1513</v>
      </c>
      <c r="L1145" s="32" t="s">
        <v>30</v>
      </c>
      <c r="M1145" s="32" t="s">
        <v>30</v>
      </c>
      <c r="N1145" s="40">
        <v>2022</v>
      </c>
      <c r="O1145" s="32">
        <f>VLOOKUP(Data!N847, CPI!$A$2:$B$112, 2, 0)</f>
        <v>245.12</v>
      </c>
      <c r="P1145" s="32" t="s">
        <v>7</v>
      </c>
      <c r="Q1145" s="32" t="s">
        <v>239</v>
      </c>
      <c r="R1145" s="32" t="s">
        <v>2615</v>
      </c>
      <c r="S1145" s="32">
        <v>1650</v>
      </c>
      <c r="T1145" s="32" t="s">
        <v>316</v>
      </c>
      <c r="U1145" s="32">
        <v>1650</v>
      </c>
      <c r="V1145" s="32" t="s">
        <v>316</v>
      </c>
      <c r="X1145" s="32">
        <f t="shared" si="70"/>
        <v>1650</v>
      </c>
      <c r="Y1145" s="32">
        <f>(CPI!$B$112/O1145)*X1145</f>
        <v>2050.9001203492166</v>
      </c>
      <c r="Z1145" s="38" t="s">
        <v>262</v>
      </c>
      <c r="AA1145" s="35" t="s">
        <v>1447</v>
      </c>
      <c r="AB1145" s="32">
        <v>280849</v>
      </c>
      <c r="AC1145" s="32" t="s">
        <v>2637</v>
      </c>
      <c r="AH1145" s="32" t="s">
        <v>411</v>
      </c>
      <c r="AI1145" s="32" t="s">
        <v>1539</v>
      </c>
      <c r="AK1145" s="40" t="s">
        <v>1775</v>
      </c>
      <c r="AL1145" s="32">
        <v>2022</v>
      </c>
      <c r="AM1145" s="32" t="s">
        <v>1776</v>
      </c>
      <c r="AN1145" s="32" t="s">
        <v>1777</v>
      </c>
      <c r="AO1145" s="38" t="s">
        <v>1778</v>
      </c>
      <c r="AP1145" s="35" t="s">
        <v>396</v>
      </c>
    </row>
    <row r="1146" spans="1:42" x14ac:dyDescent="0.2">
      <c r="A1146" s="40">
        <v>118</v>
      </c>
      <c r="B1146" s="40">
        <v>1145</v>
      </c>
      <c r="C1146" s="40" t="s">
        <v>149</v>
      </c>
      <c r="D1146" s="38" t="s">
        <v>148</v>
      </c>
      <c r="E1146" s="32" t="s">
        <v>2183</v>
      </c>
      <c r="F1146" s="32" t="s">
        <v>237</v>
      </c>
      <c r="G1146" s="38" t="s">
        <v>154</v>
      </c>
      <c r="H1146" s="32" t="s">
        <v>242</v>
      </c>
      <c r="I1146" s="32" t="s">
        <v>120</v>
      </c>
      <c r="J1146" s="32" t="s">
        <v>1462</v>
      </c>
      <c r="K1146" s="32" t="s">
        <v>1513</v>
      </c>
      <c r="L1146" s="32" t="s">
        <v>30</v>
      </c>
      <c r="M1146" s="32" t="s">
        <v>30</v>
      </c>
      <c r="N1146" s="40">
        <v>2022</v>
      </c>
      <c r="O1146" s="32">
        <f>VLOOKUP(Data!N848, CPI!$A$2:$B$112, 2, 0)</f>
        <v>245.12</v>
      </c>
      <c r="P1146" s="32" t="s">
        <v>7</v>
      </c>
      <c r="Q1146" s="32" t="s">
        <v>239</v>
      </c>
      <c r="R1146" s="32" t="s">
        <v>2616</v>
      </c>
      <c r="S1146" s="32">
        <v>1738</v>
      </c>
      <c r="T1146" s="32" t="s">
        <v>316</v>
      </c>
      <c r="U1146" s="32">
        <v>1738</v>
      </c>
      <c r="V1146" s="32" t="s">
        <v>316</v>
      </c>
      <c r="X1146" s="32">
        <f t="shared" si="70"/>
        <v>1738</v>
      </c>
      <c r="Y1146" s="32">
        <f>(CPI!$B$112/O1146)*X1146</f>
        <v>2160.2814601011751</v>
      </c>
      <c r="Z1146" s="38" t="s">
        <v>262</v>
      </c>
      <c r="AA1146" s="35" t="s">
        <v>1447</v>
      </c>
      <c r="AB1146" s="32">
        <v>280849</v>
      </c>
      <c r="AC1146" s="32" t="s">
        <v>2637</v>
      </c>
      <c r="AH1146" s="32" t="s">
        <v>411</v>
      </c>
      <c r="AI1146" s="32" t="s">
        <v>1539</v>
      </c>
      <c r="AK1146" s="40" t="s">
        <v>1775</v>
      </c>
      <c r="AL1146" s="32">
        <v>2022</v>
      </c>
      <c r="AM1146" s="32" t="s">
        <v>1776</v>
      </c>
      <c r="AN1146" s="32" t="s">
        <v>1777</v>
      </c>
      <c r="AO1146" s="38" t="s">
        <v>1778</v>
      </c>
      <c r="AP1146" s="35" t="s">
        <v>396</v>
      </c>
    </row>
    <row r="1147" spans="1:42" x14ac:dyDescent="0.2">
      <c r="A1147" s="40">
        <v>118</v>
      </c>
      <c r="B1147" s="40">
        <v>1146</v>
      </c>
      <c r="C1147" s="40" t="s">
        <v>149</v>
      </c>
      <c r="D1147" s="38" t="s">
        <v>148</v>
      </c>
      <c r="E1147" s="32" t="s">
        <v>2183</v>
      </c>
      <c r="F1147" s="32" t="s">
        <v>237</v>
      </c>
      <c r="G1147" s="38" t="s">
        <v>154</v>
      </c>
      <c r="H1147" s="32" t="s">
        <v>242</v>
      </c>
      <c r="I1147" s="32" t="s">
        <v>120</v>
      </c>
      <c r="J1147" s="32" t="s">
        <v>1462</v>
      </c>
      <c r="K1147" s="32" t="s">
        <v>1513</v>
      </c>
      <c r="L1147" s="32" t="s">
        <v>30</v>
      </c>
      <c r="M1147" s="32" t="s">
        <v>30</v>
      </c>
      <c r="N1147" s="40">
        <v>2022</v>
      </c>
      <c r="O1147" s="32">
        <f>VLOOKUP(Data!N849, CPI!$A$2:$B$112, 2, 0)</f>
        <v>245.12</v>
      </c>
      <c r="P1147" s="32" t="s">
        <v>7</v>
      </c>
      <c r="Q1147" s="32" t="s">
        <v>239</v>
      </c>
      <c r="R1147" s="32" t="s">
        <v>2617</v>
      </c>
      <c r="S1147" s="32">
        <v>2062</v>
      </c>
      <c r="T1147" s="32" t="s">
        <v>316</v>
      </c>
      <c r="U1147" s="32">
        <v>2062</v>
      </c>
      <c r="V1147" s="32" t="s">
        <v>316</v>
      </c>
      <c r="X1147" s="32">
        <f t="shared" si="70"/>
        <v>2062</v>
      </c>
      <c r="Y1147" s="32">
        <f>(CPI!$B$112/O1147)*X1147</f>
        <v>2563.0036655515664</v>
      </c>
      <c r="Z1147" s="38" t="s">
        <v>262</v>
      </c>
      <c r="AA1147" s="35" t="s">
        <v>1447</v>
      </c>
      <c r="AB1147" s="32">
        <v>280849</v>
      </c>
      <c r="AC1147" s="32" t="s">
        <v>2637</v>
      </c>
      <c r="AH1147" s="32" t="s">
        <v>411</v>
      </c>
      <c r="AI1147" s="32" t="s">
        <v>1539</v>
      </c>
      <c r="AK1147" s="40" t="s">
        <v>1775</v>
      </c>
      <c r="AL1147" s="32">
        <v>2022</v>
      </c>
      <c r="AM1147" s="32" t="s">
        <v>1776</v>
      </c>
      <c r="AN1147" s="32" t="s">
        <v>1777</v>
      </c>
      <c r="AO1147" s="38" t="s">
        <v>1778</v>
      </c>
      <c r="AP1147" s="35" t="s">
        <v>396</v>
      </c>
    </row>
    <row r="1148" spans="1:42" x14ac:dyDescent="0.2">
      <c r="A1148" s="40">
        <v>118</v>
      </c>
      <c r="B1148" s="40">
        <v>1147</v>
      </c>
      <c r="C1148" s="40" t="s">
        <v>149</v>
      </c>
      <c r="D1148" s="38" t="s">
        <v>148</v>
      </c>
      <c r="E1148" s="32" t="s">
        <v>2183</v>
      </c>
      <c r="F1148" s="32" t="s">
        <v>237</v>
      </c>
      <c r="G1148" s="38" t="s">
        <v>154</v>
      </c>
      <c r="H1148" s="32" t="s">
        <v>242</v>
      </c>
      <c r="I1148" s="32" t="s">
        <v>120</v>
      </c>
      <c r="J1148" s="32" t="s">
        <v>1462</v>
      </c>
      <c r="K1148" s="32" t="s">
        <v>1513</v>
      </c>
      <c r="L1148" s="32" t="s">
        <v>30</v>
      </c>
      <c r="M1148" s="32" t="s">
        <v>30</v>
      </c>
      <c r="N1148" s="40">
        <v>2022</v>
      </c>
      <c r="O1148" s="32">
        <f>VLOOKUP(Data!N850, CPI!$A$2:$B$112, 2, 0)</f>
        <v>245.12</v>
      </c>
      <c r="P1148" s="32" t="s">
        <v>7</v>
      </c>
      <c r="Q1148" s="32" t="s">
        <v>239</v>
      </c>
      <c r="R1148" s="32" t="s">
        <v>2618</v>
      </c>
      <c r="S1148" s="32">
        <v>2900</v>
      </c>
      <c r="T1148" s="32" t="s">
        <v>316</v>
      </c>
      <c r="U1148" s="32">
        <v>2900</v>
      </c>
      <c r="V1148" s="32" t="s">
        <v>316</v>
      </c>
      <c r="X1148" s="32">
        <f t="shared" si="70"/>
        <v>2900</v>
      </c>
      <c r="Y1148" s="32">
        <f>(CPI!$B$112/O1148)*X1148</f>
        <v>3604.6123327349869</v>
      </c>
      <c r="Z1148" s="38" t="s">
        <v>262</v>
      </c>
      <c r="AA1148" s="35" t="s">
        <v>1447</v>
      </c>
      <c r="AB1148" s="32">
        <v>280849</v>
      </c>
      <c r="AC1148" s="32" t="s">
        <v>2637</v>
      </c>
      <c r="AH1148" s="32" t="s">
        <v>411</v>
      </c>
      <c r="AI1148" s="32" t="s">
        <v>1539</v>
      </c>
      <c r="AK1148" s="40" t="s">
        <v>1775</v>
      </c>
      <c r="AL1148" s="32">
        <v>2022</v>
      </c>
      <c r="AM1148" s="32" t="s">
        <v>1776</v>
      </c>
      <c r="AN1148" s="32" t="s">
        <v>1777</v>
      </c>
      <c r="AO1148" s="38" t="s">
        <v>1778</v>
      </c>
      <c r="AP1148" s="35" t="s">
        <v>396</v>
      </c>
    </row>
    <row r="1149" spans="1:42" x14ac:dyDescent="0.2">
      <c r="A1149" s="40">
        <v>118</v>
      </c>
      <c r="B1149" s="40">
        <v>1148</v>
      </c>
      <c r="C1149" s="40" t="s">
        <v>149</v>
      </c>
      <c r="D1149" s="38" t="s">
        <v>148</v>
      </c>
      <c r="E1149" s="32" t="s">
        <v>2183</v>
      </c>
      <c r="F1149" s="32" t="s">
        <v>237</v>
      </c>
      <c r="G1149" s="38" t="s">
        <v>154</v>
      </c>
      <c r="H1149" s="32" t="s">
        <v>242</v>
      </c>
      <c r="I1149" s="32" t="s">
        <v>120</v>
      </c>
      <c r="J1149" s="32" t="s">
        <v>1462</v>
      </c>
      <c r="K1149" s="32" t="s">
        <v>1513</v>
      </c>
      <c r="L1149" s="32" t="s">
        <v>30</v>
      </c>
      <c r="M1149" s="32" t="s">
        <v>30</v>
      </c>
      <c r="N1149" s="40">
        <v>2022</v>
      </c>
      <c r="O1149" s="32">
        <f>VLOOKUP(Data!N851, CPI!$A$2:$B$112, 2, 0)</f>
        <v>245.12</v>
      </c>
      <c r="P1149" s="32" t="s">
        <v>7</v>
      </c>
      <c r="Q1149" s="32" t="s">
        <v>239</v>
      </c>
      <c r="R1149" s="32" t="s">
        <v>2619</v>
      </c>
      <c r="S1149" s="32">
        <v>1514</v>
      </c>
      <c r="T1149" s="32" t="s">
        <v>316</v>
      </c>
      <c r="U1149" s="32">
        <v>1514</v>
      </c>
      <c r="V1149" s="32" t="s">
        <v>316</v>
      </c>
      <c r="X1149" s="32">
        <f t="shared" si="70"/>
        <v>1514</v>
      </c>
      <c r="Y1149" s="32">
        <f>(CPI!$B$112/O1149)*X1149</f>
        <v>1881.8562316416449</v>
      </c>
      <c r="Z1149" s="38" t="s">
        <v>262</v>
      </c>
      <c r="AA1149" s="35" t="s">
        <v>1447</v>
      </c>
      <c r="AB1149" s="32">
        <v>280849</v>
      </c>
      <c r="AC1149" s="32" t="s">
        <v>2637</v>
      </c>
      <c r="AH1149" s="32" t="s">
        <v>411</v>
      </c>
      <c r="AI1149" s="32" t="s">
        <v>1539</v>
      </c>
      <c r="AK1149" s="40" t="s">
        <v>1775</v>
      </c>
      <c r="AL1149" s="32">
        <v>2022</v>
      </c>
      <c r="AM1149" s="32" t="s">
        <v>1776</v>
      </c>
      <c r="AN1149" s="32" t="s">
        <v>1777</v>
      </c>
      <c r="AO1149" s="38" t="s">
        <v>1778</v>
      </c>
      <c r="AP1149" s="35" t="s">
        <v>396</v>
      </c>
    </row>
    <row r="1150" spans="1:42" x14ac:dyDescent="0.2">
      <c r="A1150" s="40">
        <v>118</v>
      </c>
      <c r="B1150" s="40">
        <v>1149</v>
      </c>
      <c r="C1150" s="40" t="s">
        <v>149</v>
      </c>
      <c r="D1150" s="38" t="s">
        <v>148</v>
      </c>
      <c r="E1150" s="32" t="s">
        <v>2183</v>
      </c>
      <c r="F1150" s="32" t="s">
        <v>237</v>
      </c>
      <c r="G1150" s="38" t="s">
        <v>154</v>
      </c>
      <c r="H1150" s="32" t="s">
        <v>242</v>
      </c>
      <c r="I1150" s="32" t="s">
        <v>120</v>
      </c>
      <c r="J1150" s="32" t="s">
        <v>1462</v>
      </c>
      <c r="K1150" s="32" t="s">
        <v>1513</v>
      </c>
      <c r="L1150" s="32" t="s">
        <v>30</v>
      </c>
      <c r="M1150" s="32" t="s">
        <v>30</v>
      </c>
      <c r="N1150" s="40">
        <v>2022</v>
      </c>
      <c r="O1150" s="32">
        <f>VLOOKUP(Data!N852, CPI!$A$2:$B$112, 2, 0)</f>
        <v>245.12</v>
      </c>
      <c r="P1150" s="32" t="s">
        <v>7</v>
      </c>
      <c r="Q1150" s="32" t="s">
        <v>239</v>
      </c>
      <c r="R1150" s="32" t="s">
        <v>2620</v>
      </c>
      <c r="S1150" s="32">
        <v>1650</v>
      </c>
      <c r="T1150" s="32" t="s">
        <v>316</v>
      </c>
      <c r="U1150" s="32">
        <v>1650</v>
      </c>
      <c r="V1150" s="32" t="s">
        <v>316</v>
      </c>
      <c r="X1150" s="32">
        <f t="shared" si="70"/>
        <v>1650</v>
      </c>
      <c r="Y1150" s="32">
        <f>(CPI!$B$112/O1150)*X1150</f>
        <v>2050.9001203492166</v>
      </c>
      <c r="Z1150" s="38" t="s">
        <v>262</v>
      </c>
      <c r="AA1150" s="35" t="s">
        <v>1447</v>
      </c>
      <c r="AB1150" s="32">
        <v>280849</v>
      </c>
      <c r="AC1150" s="32" t="s">
        <v>2637</v>
      </c>
      <c r="AH1150" s="32" t="s">
        <v>411</v>
      </c>
      <c r="AI1150" s="32" t="s">
        <v>1539</v>
      </c>
      <c r="AK1150" s="40" t="s">
        <v>1775</v>
      </c>
      <c r="AL1150" s="32">
        <v>2022</v>
      </c>
      <c r="AM1150" s="32" t="s">
        <v>1776</v>
      </c>
      <c r="AN1150" s="32" t="s">
        <v>1777</v>
      </c>
      <c r="AO1150" s="38" t="s">
        <v>1778</v>
      </c>
      <c r="AP1150" s="35" t="s">
        <v>396</v>
      </c>
    </row>
    <row r="1151" spans="1:42" x14ac:dyDescent="0.2">
      <c r="A1151" s="40">
        <v>118</v>
      </c>
      <c r="B1151" s="40">
        <v>1150</v>
      </c>
      <c r="C1151" s="40" t="s">
        <v>149</v>
      </c>
      <c r="D1151" s="38" t="s">
        <v>148</v>
      </c>
      <c r="E1151" s="32" t="s">
        <v>2183</v>
      </c>
      <c r="F1151" s="32" t="s">
        <v>237</v>
      </c>
      <c r="G1151" s="38" t="s">
        <v>154</v>
      </c>
      <c r="H1151" s="32" t="s">
        <v>242</v>
      </c>
      <c r="I1151" s="32" t="s">
        <v>120</v>
      </c>
      <c r="J1151" s="32" t="s">
        <v>1462</v>
      </c>
      <c r="K1151" s="32" t="s">
        <v>1513</v>
      </c>
      <c r="L1151" s="32" t="s">
        <v>30</v>
      </c>
      <c r="M1151" s="32" t="s">
        <v>30</v>
      </c>
      <c r="N1151" s="40">
        <v>2022</v>
      </c>
      <c r="O1151" s="32">
        <f>VLOOKUP(Data!N853, CPI!$A$2:$B$112, 2, 0)</f>
        <v>245.12</v>
      </c>
      <c r="P1151" s="32" t="s">
        <v>7</v>
      </c>
      <c r="Q1151" s="32" t="s">
        <v>239</v>
      </c>
      <c r="R1151" s="32" t="s">
        <v>2621</v>
      </c>
      <c r="S1151" s="32">
        <v>1738</v>
      </c>
      <c r="T1151" s="32" t="s">
        <v>316</v>
      </c>
      <c r="U1151" s="32">
        <v>1738</v>
      </c>
      <c r="V1151" s="32" t="s">
        <v>316</v>
      </c>
      <c r="X1151" s="32">
        <f t="shared" si="70"/>
        <v>1738</v>
      </c>
      <c r="Y1151" s="32">
        <f>(CPI!$B$112/O1151)*X1151</f>
        <v>2160.2814601011751</v>
      </c>
      <c r="Z1151" s="38" t="s">
        <v>262</v>
      </c>
      <c r="AA1151" s="35" t="s">
        <v>1447</v>
      </c>
      <c r="AB1151" s="32">
        <v>280849</v>
      </c>
      <c r="AC1151" s="32" t="s">
        <v>2637</v>
      </c>
      <c r="AH1151" s="32" t="s">
        <v>411</v>
      </c>
      <c r="AI1151" s="32" t="s">
        <v>1539</v>
      </c>
      <c r="AK1151" s="40" t="s">
        <v>1775</v>
      </c>
      <c r="AL1151" s="32">
        <v>2022</v>
      </c>
      <c r="AM1151" s="32" t="s">
        <v>1776</v>
      </c>
      <c r="AN1151" s="32" t="s">
        <v>1777</v>
      </c>
      <c r="AO1151" s="38" t="s">
        <v>1778</v>
      </c>
      <c r="AP1151" s="35" t="s">
        <v>396</v>
      </c>
    </row>
    <row r="1152" spans="1:42" x14ac:dyDescent="0.2">
      <c r="A1152" s="40">
        <v>118</v>
      </c>
      <c r="B1152" s="40">
        <v>1151</v>
      </c>
      <c r="C1152" s="40" t="s">
        <v>149</v>
      </c>
      <c r="D1152" s="38" t="s">
        <v>148</v>
      </c>
      <c r="E1152" s="32" t="s">
        <v>2183</v>
      </c>
      <c r="F1152" s="32" t="s">
        <v>237</v>
      </c>
      <c r="G1152" s="38" t="s">
        <v>154</v>
      </c>
      <c r="H1152" s="32" t="s">
        <v>242</v>
      </c>
      <c r="I1152" s="32" t="s">
        <v>120</v>
      </c>
      <c r="J1152" s="32" t="s">
        <v>1462</v>
      </c>
      <c r="K1152" s="32" t="s">
        <v>1513</v>
      </c>
      <c r="L1152" s="32" t="s">
        <v>30</v>
      </c>
      <c r="M1152" s="32" t="s">
        <v>30</v>
      </c>
      <c r="N1152" s="40">
        <v>2022</v>
      </c>
      <c r="O1152" s="32">
        <f>VLOOKUP(Data!N854, CPI!$A$2:$B$112, 2, 0)</f>
        <v>255.65700000000001</v>
      </c>
      <c r="P1152" s="32" t="s">
        <v>7</v>
      </c>
      <c r="Q1152" s="32" t="s">
        <v>239</v>
      </c>
      <c r="R1152" s="32" t="s">
        <v>2622</v>
      </c>
      <c r="S1152" s="32">
        <v>2062</v>
      </c>
      <c r="T1152" s="32" t="s">
        <v>316</v>
      </c>
      <c r="U1152" s="32">
        <v>2062</v>
      </c>
      <c r="V1152" s="32" t="s">
        <v>316</v>
      </c>
      <c r="X1152" s="32">
        <f t="shared" si="70"/>
        <v>2062</v>
      </c>
      <c r="Y1152" s="32">
        <f>(CPI!$B$112/O1152)*X1152</f>
        <v>2457.3684995912495</v>
      </c>
      <c r="Z1152" s="38" t="s">
        <v>262</v>
      </c>
      <c r="AA1152" s="35" t="s">
        <v>1447</v>
      </c>
      <c r="AB1152" s="32">
        <v>280849</v>
      </c>
      <c r="AC1152" s="32" t="s">
        <v>2637</v>
      </c>
      <c r="AH1152" s="32" t="s">
        <v>411</v>
      </c>
      <c r="AI1152" s="32" t="s">
        <v>1539</v>
      </c>
      <c r="AK1152" s="40" t="s">
        <v>1775</v>
      </c>
      <c r="AL1152" s="32">
        <v>2022</v>
      </c>
      <c r="AM1152" s="32" t="s">
        <v>1776</v>
      </c>
      <c r="AN1152" s="32" t="s">
        <v>1777</v>
      </c>
      <c r="AO1152" s="38" t="s">
        <v>1778</v>
      </c>
      <c r="AP1152" s="35" t="s">
        <v>396</v>
      </c>
    </row>
    <row r="1153" spans="1:42" x14ac:dyDescent="0.2">
      <c r="A1153" s="40">
        <v>118</v>
      </c>
      <c r="B1153" s="40">
        <v>1152</v>
      </c>
      <c r="C1153" s="40" t="s">
        <v>149</v>
      </c>
      <c r="D1153" s="38" t="s">
        <v>148</v>
      </c>
      <c r="E1153" s="32" t="s">
        <v>2183</v>
      </c>
      <c r="F1153" s="32" t="s">
        <v>237</v>
      </c>
      <c r="G1153" s="38" t="s">
        <v>154</v>
      </c>
      <c r="H1153" s="32" t="s">
        <v>242</v>
      </c>
      <c r="I1153" s="32" t="s">
        <v>120</v>
      </c>
      <c r="J1153" s="32" t="s">
        <v>1462</v>
      </c>
      <c r="K1153" s="32" t="s">
        <v>1513</v>
      </c>
      <c r="L1153" s="32" t="s">
        <v>30</v>
      </c>
      <c r="M1153" s="32" t="s">
        <v>30</v>
      </c>
      <c r="N1153" s="40">
        <v>2022</v>
      </c>
      <c r="O1153" s="32">
        <f>VLOOKUP(Data!N855, CPI!$A$2:$B$112, 2, 0)</f>
        <v>255.65700000000001</v>
      </c>
      <c r="P1153" s="32" t="s">
        <v>7</v>
      </c>
      <c r="Q1153" s="32" t="s">
        <v>239</v>
      </c>
      <c r="R1153" s="32" t="s">
        <v>2623</v>
      </c>
      <c r="S1153" s="32">
        <v>2900</v>
      </c>
      <c r="T1153" s="32" t="s">
        <v>316</v>
      </c>
      <c r="U1153" s="32">
        <v>2900</v>
      </c>
      <c r="V1153" s="32" t="s">
        <v>316</v>
      </c>
      <c r="X1153" s="32">
        <f t="shared" si="70"/>
        <v>2900</v>
      </c>
      <c r="Y1153" s="32">
        <f>(CPI!$B$112/O1153)*X1153</f>
        <v>3456.0468713940945</v>
      </c>
      <c r="Z1153" s="38" t="s">
        <v>262</v>
      </c>
      <c r="AA1153" s="35" t="s">
        <v>1447</v>
      </c>
      <c r="AB1153" s="32">
        <v>280849</v>
      </c>
      <c r="AC1153" s="32" t="s">
        <v>2637</v>
      </c>
      <c r="AH1153" s="32" t="s">
        <v>411</v>
      </c>
      <c r="AI1153" s="32" t="s">
        <v>1539</v>
      </c>
      <c r="AK1153" s="40" t="s">
        <v>1775</v>
      </c>
      <c r="AL1153" s="32">
        <v>2022</v>
      </c>
      <c r="AM1153" s="32" t="s">
        <v>1776</v>
      </c>
      <c r="AN1153" s="32" t="s">
        <v>1777</v>
      </c>
      <c r="AO1153" s="38" t="s">
        <v>1778</v>
      </c>
      <c r="AP1153" s="35" t="s">
        <v>396</v>
      </c>
    </row>
    <row r="1154" spans="1:42" x14ac:dyDescent="0.2">
      <c r="A1154" s="40">
        <v>118</v>
      </c>
      <c r="B1154" s="40">
        <v>1153</v>
      </c>
      <c r="C1154" s="40" t="s">
        <v>149</v>
      </c>
      <c r="D1154" s="38" t="s">
        <v>148</v>
      </c>
      <c r="E1154" s="32" t="s">
        <v>2183</v>
      </c>
      <c r="F1154" s="32" t="s">
        <v>237</v>
      </c>
      <c r="G1154" s="38" t="s">
        <v>154</v>
      </c>
      <c r="H1154" s="32" t="s">
        <v>242</v>
      </c>
      <c r="I1154" s="32" t="s">
        <v>120</v>
      </c>
      <c r="J1154" s="32" t="s">
        <v>1462</v>
      </c>
      <c r="K1154" s="32" t="s">
        <v>1513</v>
      </c>
      <c r="L1154" s="32" t="s">
        <v>30</v>
      </c>
      <c r="M1154" s="32" t="s">
        <v>30</v>
      </c>
      <c r="N1154" s="40">
        <v>2022</v>
      </c>
      <c r="O1154" s="32">
        <f>VLOOKUP(Data!N856, CPI!$A$2:$B$112, 2, 0)</f>
        <v>255.65700000000001</v>
      </c>
      <c r="P1154" s="32" t="s">
        <v>7</v>
      </c>
      <c r="Q1154" s="32" t="s">
        <v>239</v>
      </c>
      <c r="R1154" s="32" t="s">
        <v>2624</v>
      </c>
      <c r="S1154" s="32">
        <v>1514</v>
      </c>
      <c r="T1154" s="32" t="s">
        <v>316</v>
      </c>
      <c r="U1154" s="32">
        <v>1514</v>
      </c>
      <c r="V1154" s="32" t="s">
        <v>316</v>
      </c>
      <c r="X1154" s="32">
        <f t="shared" si="70"/>
        <v>1514</v>
      </c>
      <c r="Y1154" s="32">
        <f>(CPI!$B$112/O1154)*X1154</f>
        <v>1804.2948149278136</v>
      </c>
      <c r="Z1154" s="38" t="s">
        <v>262</v>
      </c>
      <c r="AA1154" s="35" t="s">
        <v>1447</v>
      </c>
      <c r="AB1154" s="32">
        <v>280849</v>
      </c>
      <c r="AC1154" s="32" t="s">
        <v>2637</v>
      </c>
      <c r="AH1154" s="32" t="s">
        <v>411</v>
      </c>
      <c r="AI1154" s="32" t="s">
        <v>1539</v>
      </c>
      <c r="AK1154" s="40" t="s">
        <v>1775</v>
      </c>
      <c r="AL1154" s="32">
        <v>2022</v>
      </c>
      <c r="AM1154" s="32" t="s">
        <v>1776</v>
      </c>
      <c r="AN1154" s="32" t="s">
        <v>1777</v>
      </c>
      <c r="AO1154" s="38" t="s">
        <v>1778</v>
      </c>
      <c r="AP1154" s="35" t="s">
        <v>396</v>
      </c>
    </row>
    <row r="1155" spans="1:42" x14ac:dyDescent="0.2">
      <c r="A1155" s="40">
        <v>118</v>
      </c>
      <c r="B1155" s="40">
        <v>1154</v>
      </c>
      <c r="C1155" s="40" t="s">
        <v>149</v>
      </c>
      <c r="D1155" s="38" t="s">
        <v>148</v>
      </c>
      <c r="E1155" s="32" t="s">
        <v>2183</v>
      </c>
      <c r="F1155" s="32" t="s">
        <v>237</v>
      </c>
      <c r="G1155" s="38" t="s">
        <v>154</v>
      </c>
      <c r="H1155" s="32" t="s">
        <v>242</v>
      </c>
      <c r="I1155" s="32" t="s">
        <v>120</v>
      </c>
      <c r="J1155" s="32" t="s">
        <v>1462</v>
      </c>
      <c r="K1155" s="32" t="s">
        <v>1513</v>
      </c>
      <c r="L1155" s="32" t="s">
        <v>30</v>
      </c>
      <c r="M1155" s="32" t="s">
        <v>30</v>
      </c>
      <c r="N1155" s="40">
        <v>2022</v>
      </c>
      <c r="O1155" s="32">
        <f>VLOOKUP(Data!N857, CPI!$A$2:$B$112, 2, 0)</f>
        <v>255.65700000000001</v>
      </c>
      <c r="P1155" s="32" t="s">
        <v>7</v>
      </c>
      <c r="Q1155" s="32" t="s">
        <v>239</v>
      </c>
      <c r="R1155" s="32" t="s">
        <v>2625</v>
      </c>
      <c r="S1155" s="32">
        <v>1995</v>
      </c>
      <c r="T1155" s="32" t="s">
        <v>316</v>
      </c>
      <c r="U1155" s="32">
        <v>1995</v>
      </c>
      <c r="V1155" s="32" t="s">
        <v>316</v>
      </c>
      <c r="X1155" s="32">
        <f t="shared" si="70"/>
        <v>1995</v>
      </c>
      <c r="Y1155" s="32">
        <f>(CPI!$B$112/O1155)*X1155</f>
        <v>2377.5218994590409</v>
      </c>
      <c r="Z1155" s="38" t="s">
        <v>262</v>
      </c>
      <c r="AA1155" s="35" t="s">
        <v>1446</v>
      </c>
      <c r="AB1155" s="32">
        <v>280849</v>
      </c>
      <c r="AC1155" s="32" t="s">
        <v>2637</v>
      </c>
      <c r="AH1155" s="32" t="s">
        <v>411</v>
      </c>
      <c r="AI1155" s="32" t="s">
        <v>1539</v>
      </c>
      <c r="AK1155" s="40" t="s">
        <v>1775</v>
      </c>
      <c r="AL1155" s="32">
        <v>2022</v>
      </c>
      <c r="AM1155" s="32" t="s">
        <v>1776</v>
      </c>
      <c r="AN1155" s="32" t="s">
        <v>1777</v>
      </c>
      <c r="AO1155" s="38" t="s">
        <v>1778</v>
      </c>
      <c r="AP1155" s="35" t="s">
        <v>396</v>
      </c>
    </row>
    <row r="1156" spans="1:42" x14ac:dyDescent="0.2">
      <c r="A1156" s="40">
        <v>118</v>
      </c>
      <c r="B1156" s="40">
        <v>1155</v>
      </c>
      <c r="C1156" s="40" t="s">
        <v>149</v>
      </c>
      <c r="D1156" s="38" t="s">
        <v>148</v>
      </c>
      <c r="E1156" s="32" t="s">
        <v>2183</v>
      </c>
      <c r="F1156" s="32" t="s">
        <v>237</v>
      </c>
      <c r="G1156" s="38" t="s">
        <v>154</v>
      </c>
      <c r="H1156" s="32" t="s">
        <v>242</v>
      </c>
      <c r="I1156" s="32" t="s">
        <v>120</v>
      </c>
      <c r="J1156" s="32" t="s">
        <v>1462</v>
      </c>
      <c r="K1156" s="32" t="s">
        <v>1513</v>
      </c>
      <c r="L1156" s="32" t="s">
        <v>30</v>
      </c>
      <c r="M1156" s="32" t="s">
        <v>30</v>
      </c>
      <c r="N1156" s="40">
        <v>2022</v>
      </c>
      <c r="O1156" s="32">
        <f>VLOOKUP(Data!N858, CPI!$A$2:$B$112, 2, 0)</f>
        <v>255.65700000000001</v>
      </c>
      <c r="P1156" s="32" t="s">
        <v>7</v>
      </c>
      <c r="Q1156" s="32" t="s">
        <v>239</v>
      </c>
      <c r="R1156" s="32" t="s">
        <v>2626</v>
      </c>
      <c r="S1156" s="32">
        <v>8855</v>
      </c>
      <c r="T1156" s="32" t="s">
        <v>316</v>
      </c>
      <c r="U1156" s="32">
        <v>8855</v>
      </c>
      <c r="V1156" s="32" t="s">
        <v>316</v>
      </c>
      <c r="X1156" s="32">
        <f t="shared" si="70"/>
        <v>8855</v>
      </c>
      <c r="Y1156" s="32">
        <f>(CPI!$B$112/O1156)*X1156</f>
        <v>10552.860360756797</v>
      </c>
      <c r="Z1156" s="38" t="s">
        <v>262</v>
      </c>
      <c r="AA1156" s="35" t="s">
        <v>1446</v>
      </c>
      <c r="AB1156" s="32">
        <v>280849</v>
      </c>
      <c r="AC1156" s="32" t="s">
        <v>2637</v>
      </c>
      <c r="AH1156" s="32" t="s">
        <v>411</v>
      </c>
      <c r="AI1156" s="32" t="s">
        <v>1539</v>
      </c>
      <c r="AK1156" s="40" t="s">
        <v>1775</v>
      </c>
      <c r="AL1156" s="32">
        <v>2022</v>
      </c>
      <c r="AM1156" s="32" t="s">
        <v>1776</v>
      </c>
      <c r="AN1156" s="32" t="s">
        <v>1777</v>
      </c>
      <c r="AO1156" s="38" t="s">
        <v>1778</v>
      </c>
      <c r="AP1156" s="35" t="s">
        <v>396</v>
      </c>
    </row>
    <row r="1157" spans="1:42" x14ac:dyDescent="0.2">
      <c r="A1157" s="40">
        <v>118</v>
      </c>
      <c r="B1157" s="40">
        <v>1156</v>
      </c>
      <c r="C1157" s="40" t="s">
        <v>149</v>
      </c>
      <c r="D1157" s="38" t="s">
        <v>148</v>
      </c>
      <c r="E1157" s="32" t="s">
        <v>2183</v>
      </c>
      <c r="F1157" s="32" t="s">
        <v>237</v>
      </c>
      <c r="G1157" s="38" t="s">
        <v>154</v>
      </c>
      <c r="H1157" s="32" t="s">
        <v>242</v>
      </c>
      <c r="I1157" s="32" t="s">
        <v>120</v>
      </c>
      <c r="J1157" s="32" t="s">
        <v>1462</v>
      </c>
      <c r="K1157" s="32" t="s">
        <v>1513</v>
      </c>
      <c r="L1157" s="32" t="s">
        <v>30</v>
      </c>
      <c r="M1157" s="32" t="s">
        <v>30</v>
      </c>
      <c r="N1157" s="40">
        <v>2022</v>
      </c>
      <c r="O1157" s="32">
        <f>VLOOKUP(Data!N859, CPI!$A$2:$B$112, 2, 0)</f>
        <v>255.65700000000001</v>
      </c>
      <c r="P1157" s="32" t="s">
        <v>7</v>
      </c>
      <c r="Q1157" s="32" t="s">
        <v>239</v>
      </c>
      <c r="R1157" s="32" t="s">
        <v>2627</v>
      </c>
      <c r="S1157" s="32">
        <v>1132</v>
      </c>
      <c r="T1157" s="32" t="s">
        <v>316</v>
      </c>
      <c r="U1157" s="32">
        <v>1132</v>
      </c>
      <c r="V1157" s="32" t="s">
        <v>316</v>
      </c>
      <c r="X1157" s="32">
        <f t="shared" si="70"/>
        <v>1132</v>
      </c>
      <c r="Y1157" s="32">
        <f>(CPI!$B$112/O1157)*X1157</f>
        <v>1349.0500201441778</v>
      </c>
      <c r="Z1157" s="38" t="s">
        <v>262</v>
      </c>
      <c r="AA1157" s="35" t="s">
        <v>1446</v>
      </c>
      <c r="AB1157" s="32">
        <v>280849</v>
      </c>
      <c r="AC1157" s="32" t="s">
        <v>2637</v>
      </c>
      <c r="AH1157" s="32" t="s">
        <v>411</v>
      </c>
      <c r="AI1157" s="32" t="s">
        <v>1539</v>
      </c>
      <c r="AK1157" s="40" t="s">
        <v>1775</v>
      </c>
      <c r="AL1157" s="32">
        <v>2022</v>
      </c>
      <c r="AM1157" s="32" t="s">
        <v>1776</v>
      </c>
      <c r="AN1157" s="32" t="s">
        <v>1777</v>
      </c>
      <c r="AO1157" s="38" t="s">
        <v>1778</v>
      </c>
      <c r="AP1157" s="35" t="s">
        <v>396</v>
      </c>
    </row>
    <row r="1158" spans="1:42" x14ac:dyDescent="0.2">
      <c r="A1158" s="40">
        <v>118</v>
      </c>
      <c r="B1158" s="40">
        <v>1157</v>
      </c>
      <c r="C1158" s="40" t="s">
        <v>149</v>
      </c>
      <c r="D1158" s="38" t="s">
        <v>148</v>
      </c>
      <c r="E1158" s="32" t="s">
        <v>2183</v>
      </c>
      <c r="F1158" s="32" t="s">
        <v>237</v>
      </c>
      <c r="G1158" s="38" t="s">
        <v>154</v>
      </c>
      <c r="H1158" s="32" t="s">
        <v>242</v>
      </c>
      <c r="I1158" s="32" t="s">
        <v>120</v>
      </c>
      <c r="J1158" s="32" t="s">
        <v>1462</v>
      </c>
      <c r="K1158" s="32" t="s">
        <v>1513</v>
      </c>
      <c r="L1158" s="32" t="s">
        <v>30</v>
      </c>
      <c r="M1158" s="32" t="s">
        <v>30</v>
      </c>
      <c r="N1158" s="40">
        <v>2022</v>
      </c>
      <c r="O1158" s="32">
        <f>VLOOKUP(Data!N860, CPI!$A$2:$B$112, 2, 0)</f>
        <v>255.65700000000001</v>
      </c>
      <c r="P1158" s="32" t="s">
        <v>7</v>
      </c>
      <c r="Q1158" s="32" t="s">
        <v>239</v>
      </c>
      <c r="R1158" s="32" t="s">
        <v>2628</v>
      </c>
      <c r="S1158" s="32">
        <v>1275</v>
      </c>
      <c r="T1158" s="32" t="s">
        <v>316</v>
      </c>
      <c r="U1158" s="32">
        <v>1275</v>
      </c>
      <c r="V1158" s="32" t="s">
        <v>316</v>
      </c>
      <c r="X1158" s="32">
        <f t="shared" si="70"/>
        <v>1275</v>
      </c>
      <c r="Y1158" s="32">
        <f>(CPI!$B$112/O1158)*X1158</f>
        <v>1519.468883112921</v>
      </c>
      <c r="Z1158" s="38" t="s">
        <v>262</v>
      </c>
      <c r="AA1158" s="35" t="s">
        <v>1446</v>
      </c>
      <c r="AB1158" s="32">
        <v>280849</v>
      </c>
      <c r="AC1158" s="32" t="s">
        <v>2637</v>
      </c>
      <c r="AH1158" s="32" t="s">
        <v>411</v>
      </c>
      <c r="AI1158" s="32" t="s">
        <v>1539</v>
      </c>
      <c r="AK1158" s="40" t="s">
        <v>1775</v>
      </c>
      <c r="AL1158" s="32">
        <v>2022</v>
      </c>
      <c r="AM1158" s="32" t="s">
        <v>1776</v>
      </c>
      <c r="AN1158" s="32" t="s">
        <v>1777</v>
      </c>
      <c r="AO1158" s="38" t="s">
        <v>1778</v>
      </c>
      <c r="AP1158" s="35" t="s">
        <v>396</v>
      </c>
    </row>
    <row r="1159" spans="1:42" x14ac:dyDescent="0.2">
      <c r="A1159" s="40">
        <v>118</v>
      </c>
      <c r="B1159" s="40">
        <v>1158</v>
      </c>
      <c r="C1159" s="40" t="s">
        <v>149</v>
      </c>
      <c r="D1159" s="38" t="s">
        <v>148</v>
      </c>
      <c r="E1159" s="32" t="s">
        <v>2183</v>
      </c>
      <c r="F1159" s="32" t="s">
        <v>237</v>
      </c>
      <c r="G1159" s="38" t="s">
        <v>154</v>
      </c>
      <c r="H1159" s="32" t="s">
        <v>242</v>
      </c>
      <c r="I1159" s="32" t="s">
        <v>120</v>
      </c>
      <c r="J1159" s="32" t="s">
        <v>1462</v>
      </c>
      <c r="K1159" s="32" t="s">
        <v>1513</v>
      </c>
      <c r="L1159" s="32" t="s">
        <v>30</v>
      </c>
      <c r="M1159" s="32" t="s">
        <v>30</v>
      </c>
      <c r="N1159" s="40">
        <v>2022</v>
      </c>
      <c r="O1159" s="32">
        <f>VLOOKUP(Data!N861, CPI!$A$2:$B$112, 2, 0)</f>
        <v>255.65700000000001</v>
      </c>
      <c r="P1159" s="32" t="s">
        <v>7</v>
      </c>
      <c r="Q1159" s="32" t="s">
        <v>239</v>
      </c>
      <c r="R1159" s="32" t="s">
        <v>2629</v>
      </c>
      <c r="S1159" s="32">
        <v>10207</v>
      </c>
      <c r="T1159" s="32" t="s">
        <v>316</v>
      </c>
      <c r="U1159" s="32">
        <v>10207</v>
      </c>
      <c r="V1159" s="32" t="s">
        <v>316</v>
      </c>
      <c r="X1159" s="32">
        <f t="shared" si="70"/>
        <v>10207</v>
      </c>
      <c r="Y1159" s="32">
        <f>(CPI!$B$112/O1159)*X1159</f>
        <v>12164.093247006733</v>
      </c>
      <c r="Z1159" s="38" t="s">
        <v>262</v>
      </c>
      <c r="AA1159" s="35" t="s">
        <v>1446</v>
      </c>
      <c r="AB1159" s="32">
        <v>280849</v>
      </c>
      <c r="AC1159" s="32" t="s">
        <v>2637</v>
      </c>
      <c r="AH1159" s="32" t="s">
        <v>411</v>
      </c>
      <c r="AI1159" s="32" t="s">
        <v>1539</v>
      </c>
      <c r="AK1159" s="40" t="s">
        <v>1775</v>
      </c>
      <c r="AL1159" s="32">
        <v>2022</v>
      </c>
      <c r="AM1159" s="32" t="s">
        <v>1776</v>
      </c>
      <c r="AN1159" s="32" t="s">
        <v>1777</v>
      </c>
      <c r="AO1159" s="38" t="s">
        <v>1778</v>
      </c>
      <c r="AP1159" s="35" t="s">
        <v>396</v>
      </c>
    </row>
    <row r="1160" spans="1:42" x14ac:dyDescent="0.2">
      <c r="A1160" s="40">
        <v>118</v>
      </c>
      <c r="B1160" s="40">
        <v>1159</v>
      </c>
      <c r="C1160" s="40" t="s">
        <v>149</v>
      </c>
      <c r="D1160" s="38" t="s">
        <v>148</v>
      </c>
      <c r="E1160" s="32" t="s">
        <v>2183</v>
      </c>
      <c r="F1160" s="32" t="s">
        <v>237</v>
      </c>
      <c r="G1160" s="38" t="s">
        <v>154</v>
      </c>
      <c r="H1160" s="32" t="s">
        <v>242</v>
      </c>
      <c r="I1160" s="32" t="s">
        <v>120</v>
      </c>
      <c r="J1160" s="32" t="s">
        <v>1462</v>
      </c>
      <c r="K1160" s="32" t="s">
        <v>1513</v>
      </c>
      <c r="L1160" s="32" t="s">
        <v>30</v>
      </c>
      <c r="M1160" s="32" t="s">
        <v>30</v>
      </c>
      <c r="N1160" s="40">
        <v>2022</v>
      </c>
      <c r="O1160" s="32">
        <f>VLOOKUP(Data!N862, CPI!$A$2:$B$112, 2, 0)</f>
        <v>255.65700000000001</v>
      </c>
      <c r="P1160" s="32" t="s">
        <v>7</v>
      </c>
      <c r="Q1160" s="32" t="s">
        <v>239</v>
      </c>
      <c r="R1160" s="32" t="s">
        <v>2630</v>
      </c>
      <c r="S1160" s="32">
        <v>1185</v>
      </c>
      <c r="T1160" s="32" t="s">
        <v>316</v>
      </c>
      <c r="U1160" s="32">
        <v>1185</v>
      </c>
      <c r="V1160" s="32" t="s">
        <v>316</v>
      </c>
      <c r="X1160" s="32">
        <f t="shared" si="70"/>
        <v>1185</v>
      </c>
      <c r="Y1160" s="32">
        <f>(CPI!$B$112/O1160)*X1160</f>
        <v>1412.212256069656</v>
      </c>
      <c r="Z1160" s="38" t="s">
        <v>262</v>
      </c>
      <c r="AA1160" s="35" t="s">
        <v>1446</v>
      </c>
      <c r="AB1160" s="32">
        <v>280849</v>
      </c>
      <c r="AC1160" s="32" t="s">
        <v>2637</v>
      </c>
      <c r="AH1160" s="32" t="s">
        <v>411</v>
      </c>
      <c r="AI1160" s="32" t="s">
        <v>1539</v>
      </c>
      <c r="AK1160" s="40" t="s">
        <v>1775</v>
      </c>
      <c r="AL1160" s="32">
        <v>2022</v>
      </c>
      <c r="AM1160" s="32" t="s">
        <v>1776</v>
      </c>
      <c r="AN1160" s="32" t="s">
        <v>1777</v>
      </c>
      <c r="AO1160" s="38" t="s">
        <v>1778</v>
      </c>
      <c r="AP1160" s="35" t="s">
        <v>396</v>
      </c>
    </row>
    <row r="1161" spans="1:42" x14ac:dyDescent="0.2">
      <c r="A1161" s="40">
        <v>118</v>
      </c>
      <c r="B1161" s="40">
        <v>1160</v>
      </c>
      <c r="C1161" s="40" t="s">
        <v>149</v>
      </c>
      <c r="D1161" s="38" t="s">
        <v>148</v>
      </c>
      <c r="E1161" s="32" t="s">
        <v>2183</v>
      </c>
      <c r="F1161" s="32" t="s">
        <v>237</v>
      </c>
      <c r="G1161" s="38" t="s">
        <v>154</v>
      </c>
      <c r="H1161" s="32" t="s">
        <v>242</v>
      </c>
      <c r="I1161" s="32" t="s">
        <v>120</v>
      </c>
      <c r="J1161" s="32" t="s">
        <v>1462</v>
      </c>
      <c r="K1161" s="32" t="s">
        <v>1513</v>
      </c>
      <c r="L1161" s="32" t="s">
        <v>30</v>
      </c>
      <c r="M1161" s="32" t="s">
        <v>30</v>
      </c>
      <c r="N1161" s="40">
        <v>2022</v>
      </c>
      <c r="O1161" s="32">
        <f>VLOOKUP(Data!N863, CPI!$A$2:$B$112, 2, 0)</f>
        <v>255.65700000000001</v>
      </c>
      <c r="P1161" s="32" t="s">
        <v>7</v>
      </c>
      <c r="Q1161" s="32" t="s">
        <v>239</v>
      </c>
      <c r="R1161" s="32" t="s">
        <v>2631</v>
      </c>
      <c r="S1161" s="32">
        <v>1293</v>
      </c>
      <c r="T1161" s="32" t="s">
        <v>316</v>
      </c>
      <c r="U1161" s="32">
        <v>1293</v>
      </c>
      <c r="V1161" s="32" t="s">
        <v>316</v>
      </c>
      <c r="X1161" s="32">
        <f t="shared" si="70"/>
        <v>1293</v>
      </c>
      <c r="Y1161" s="32">
        <f>(CPI!$B$112/O1161)*X1161</f>
        <v>1540.9202085215741</v>
      </c>
      <c r="Z1161" s="38" t="s">
        <v>262</v>
      </c>
      <c r="AA1161" s="35" t="s">
        <v>1446</v>
      </c>
      <c r="AB1161" s="32">
        <v>280849</v>
      </c>
      <c r="AC1161" s="32" t="s">
        <v>2637</v>
      </c>
      <c r="AH1161" s="32" t="s">
        <v>411</v>
      </c>
      <c r="AI1161" s="32" t="s">
        <v>1539</v>
      </c>
      <c r="AK1161" s="40" t="s">
        <v>1775</v>
      </c>
      <c r="AL1161" s="32">
        <v>2022</v>
      </c>
      <c r="AM1161" s="32" t="s">
        <v>1776</v>
      </c>
      <c r="AN1161" s="32" t="s">
        <v>1777</v>
      </c>
      <c r="AO1161" s="38" t="s">
        <v>1778</v>
      </c>
      <c r="AP1161" s="35" t="s">
        <v>396</v>
      </c>
    </row>
    <row r="1162" spans="1:42" x14ac:dyDescent="0.2">
      <c r="A1162" s="40">
        <v>118</v>
      </c>
      <c r="B1162" s="40">
        <v>1161</v>
      </c>
      <c r="C1162" s="40" t="s">
        <v>149</v>
      </c>
      <c r="D1162" s="38" t="s">
        <v>148</v>
      </c>
      <c r="E1162" s="32" t="s">
        <v>2183</v>
      </c>
      <c r="F1162" s="32" t="s">
        <v>237</v>
      </c>
      <c r="G1162" s="38" t="s">
        <v>154</v>
      </c>
      <c r="H1162" s="32" t="s">
        <v>242</v>
      </c>
      <c r="I1162" s="32" t="s">
        <v>120</v>
      </c>
      <c r="J1162" s="32" t="s">
        <v>1462</v>
      </c>
      <c r="K1162" s="32" t="s">
        <v>1513</v>
      </c>
      <c r="L1162" s="32" t="s">
        <v>30</v>
      </c>
      <c r="M1162" s="32" t="s">
        <v>30</v>
      </c>
      <c r="N1162" s="40">
        <v>2022</v>
      </c>
      <c r="O1162" s="32">
        <f>VLOOKUP(Data!N864, CPI!$A$2:$B$112, 2, 0)</f>
        <v>255.65700000000001</v>
      </c>
      <c r="P1162" s="32" t="s">
        <v>7</v>
      </c>
      <c r="Q1162" s="32" t="s">
        <v>239</v>
      </c>
      <c r="R1162" s="32" t="s">
        <v>2632</v>
      </c>
      <c r="S1162" s="32">
        <v>11560</v>
      </c>
      <c r="T1162" s="32" t="s">
        <v>316</v>
      </c>
      <c r="U1162" s="32">
        <v>11560</v>
      </c>
      <c r="V1162" s="32" t="s">
        <v>316</v>
      </c>
      <c r="X1162" s="32">
        <f t="shared" si="70"/>
        <v>11560</v>
      </c>
      <c r="Y1162" s="32">
        <f>(CPI!$B$112/O1162)*X1162</f>
        <v>13776.51787355715</v>
      </c>
      <c r="Z1162" s="38" t="s">
        <v>262</v>
      </c>
      <c r="AA1162" s="35" t="s">
        <v>1446</v>
      </c>
      <c r="AB1162" s="32">
        <v>280849</v>
      </c>
      <c r="AC1162" s="32" t="s">
        <v>2637</v>
      </c>
      <c r="AH1162" s="32" t="s">
        <v>411</v>
      </c>
      <c r="AI1162" s="32" t="s">
        <v>1539</v>
      </c>
      <c r="AK1162" s="40" t="s">
        <v>1775</v>
      </c>
      <c r="AL1162" s="32">
        <v>2022</v>
      </c>
      <c r="AM1162" s="32" t="s">
        <v>1776</v>
      </c>
      <c r="AN1162" s="32" t="s">
        <v>1777</v>
      </c>
      <c r="AO1162" s="38" t="s">
        <v>1778</v>
      </c>
      <c r="AP1162" s="35" t="s">
        <v>396</v>
      </c>
    </row>
    <row r="1163" spans="1:42" x14ac:dyDescent="0.2">
      <c r="A1163" s="40">
        <v>118</v>
      </c>
      <c r="B1163" s="40">
        <v>1162</v>
      </c>
      <c r="C1163" s="40" t="s">
        <v>149</v>
      </c>
      <c r="D1163" s="38" t="s">
        <v>148</v>
      </c>
      <c r="E1163" s="32" t="s">
        <v>2183</v>
      </c>
      <c r="F1163" s="32" t="s">
        <v>237</v>
      </c>
      <c r="G1163" s="38" t="s">
        <v>154</v>
      </c>
      <c r="H1163" s="32" t="s">
        <v>242</v>
      </c>
      <c r="I1163" s="32" t="s">
        <v>120</v>
      </c>
      <c r="J1163" s="32" t="s">
        <v>1462</v>
      </c>
      <c r="K1163" s="32" t="s">
        <v>1513</v>
      </c>
      <c r="L1163" s="32" t="s">
        <v>30</v>
      </c>
      <c r="M1163" s="32" t="s">
        <v>30</v>
      </c>
      <c r="N1163" s="40">
        <v>2022</v>
      </c>
      <c r="O1163" s="32">
        <f>VLOOKUP(Data!N865, CPI!$A$2:$B$112, 2, 0)</f>
        <v>255.65700000000001</v>
      </c>
      <c r="P1163" s="32" t="s">
        <v>7</v>
      </c>
      <c r="Q1163" s="32" t="s">
        <v>239</v>
      </c>
      <c r="R1163" s="32" t="s">
        <v>2633</v>
      </c>
      <c r="S1163" s="32">
        <v>1238</v>
      </c>
      <c r="T1163" s="32" t="s">
        <v>316</v>
      </c>
      <c r="U1163" s="32">
        <v>1238</v>
      </c>
      <c r="V1163" s="32" t="s">
        <v>316</v>
      </c>
      <c r="X1163" s="32">
        <f t="shared" si="70"/>
        <v>1238</v>
      </c>
      <c r="Y1163" s="32">
        <f>(CPI!$B$112/O1163)*X1163</f>
        <v>1475.3744919951343</v>
      </c>
      <c r="Z1163" s="38" t="s">
        <v>262</v>
      </c>
      <c r="AA1163" s="35" t="s">
        <v>1446</v>
      </c>
      <c r="AB1163" s="32">
        <v>280849</v>
      </c>
      <c r="AC1163" s="32" t="s">
        <v>2637</v>
      </c>
      <c r="AH1163" s="32" t="s">
        <v>411</v>
      </c>
      <c r="AI1163" s="32" t="s">
        <v>1539</v>
      </c>
      <c r="AK1163" s="40" t="s">
        <v>1775</v>
      </c>
      <c r="AL1163" s="32">
        <v>2022</v>
      </c>
      <c r="AM1163" s="32" t="s">
        <v>1776</v>
      </c>
      <c r="AN1163" s="32" t="s">
        <v>1777</v>
      </c>
      <c r="AO1163" s="38" t="s">
        <v>1778</v>
      </c>
      <c r="AP1163" s="35" t="s">
        <v>396</v>
      </c>
    </row>
    <row r="1164" spans="1:42" x14ac:dyDescent="0.2">
      <c r="A1164" s="40">
        <v>118</v>
      </c>
      <c r="B1164" s="40">
        <v>1163</v>
      </c>
      <c r="C1164" s="40" t="s">
        <v>149</v>
      </c>
      <c r="D1164" s="38" t="s">
        <v>148</v>
      </c>
      <c r="E1164" s="32" t="s">
        <v>2183</v>
      </c>
      <c r="F1164" s="32" t="s">
        <v>237</v>
      </c>
      <c r="G1164" s="38" t="s">
        <v>154</v>
      </c>
      <c r="H1164" s="32" t="s">
        <v>242</v>
      </c>
      <c r="I1164" s="32" t="s">
        <v>120</v>
      </c>
      <c r="J1164" s="32" t="s">
        <v>1462</v>
      </c>
      <c r="K1164" s="32" t="s">
        <v>1513</v>
      </c>
      <c r="L1164" s="32" t="s">
        <v>30</v>
      </c>
      <c r="M1164" s="32" t="s">
        <v>30</v>
      </c>
      <c r="N1164" s="40">
        <v>2022</v>
      </c>
      <c r="O1164" s="32">
        <f>VLOOKUP(Data!N866, CPI!$A$2:$B$112, 2, 0)</f>
        <v>240.00700000000001</v>
      </c>
      <c r="P1164" s="32" t="s">
        <v>7</v>
      </c>
      <c r="Q1164" s="32" t="s">
        <v>239</v>
      </c>
      <c r="R1164" s="32" t="s">
        <v>2634</v>
      </c>
      <c r="S1164" s="32">
        <v>1301</v>
      </c>
      <c r="T1164" s="32" t="s">
        <v>316</v>
      </c>
      <c r="U1164" s="32">
        <v>1301</v>
      </c>
      <c r="V1164" s="32" t="s">
        <v>316</v>
      </c>
      <c r="X1164" s="32">
        <f t="shared" si="70"/>
        <v>1301</v>
      </c>
      <c r="Y1164" s="32">
        <f>(CPI!$B$112/O1164)*X1164</f>
        <v>1651.5537119750675</v>
      </c>
      <c r="Z1164" s="38" t="s">
        <v>262</v>
      </c>
      <c r="AA1164" s="35" t="s">
        <v>1446</v>
      </c>
      <c r="AB1164" s="32">
        <v>280849</v>
      </c>
      <c r="AC1164" s="32" t="s">
        <v>2637</v>
      </c>
      <c r="AH1164" s="32" t="s">
        <v>411</v>
      </c>
      <c r="AI1164" s="32" t="s">
        <v>1539</v>
      </c>
      <c r="AK1164" s="40" t="s">
        <v>1775</v>
      </c>
      <c r="AL1164" s="32">
        <v>2022</v>
      </c>
      <c r="AM1164" s="32" t="s">
        <v>1776</v>
      </c>
      <c r="AN1164" s="32" t="s">
        <v>1777</v>
      </c>
      <c r="AO1164" s="38" t="s">
        <v>1778</v>
      </c>
      <c r="AP1164" s="35" t="s">
        <v>396</v>
      </c>
    </row>
    <row r="1165" spans="1:42" x14ac:dyDescent="0.2">
      <c r="A1165" s="40">
        <v>118</v>
      </c>
      <c r="B1165" s="40">
        <v>1164</v>
      </c>
      <c r="C1165" s="40" t="s">
        <v>149</v>
      </c>
      <c r="D1165" s="38" t="s">
        <v>148</v>
      </c>
      <c r="E1165" s="32" t="s">
        <v>2183</v>
      </c>
      <c r="F1165" s="32" t="s">
        <v>237</v>
      </c>
      <c r="G1165" s="38" t="s">
        <v>154</v>
      </c>
      <c r="H1165" s="32" t="s">
        <v>242</v>
      </c>
      <c r="I1165" s="32" t="s">
        <v>120</v>
      </c>
      <c r="J1165" s="32" t="s">
        <v>1462</v>
      </c>
      <c r="K1165" s="32" t="s">
        <v>1513</v>
      </c>
      <c r="L1165" s="32" t="s">
        <v>30</v>
      </c>
      <c r="M1165" s="32" t="s">
        <v>30</v>
      </c>
      <c r="N1165" s="40">
        <v>2022</v>
      </c>
      <c r="O1165" s="32">
        <f>VLOOKUP(Data!N867, CPI!$A$2:$B$112, 2, 0)</f>
        <v>240.00700000000001</v>
      </c>
      <c r="P1165" s="32" t="s">
        <v>7</v>
      </c>
      <c r="Q1165" s="32" t="s">
        <v>239</v>
      </c>
      <c r="R1165" s="32" t="s">
        <v>2635</v>
      </c>
      <c r="S1165" s="32">
        <v>12236</v>
      </c>
      <c r="T1165" s="32" t="s">
        <v>316</v>
      </c>
      <c r="U1165" s="32">
        <v>12236</v>
      </c>
      <c r="V1165" s="32" t="s">
        <v>316</v>
      </c>
      <c r="X1165" s="32">
        <f t="shared" si="70"/>
        <v>12236</v>
      </c>
      <c r="Y1165" s="32">
        <f>(CPI!$B$112/O1165)*X1165</f>
        <v>15532.983258821618</v>
      </c>
      <c r="Z1165" s="38" t="s">
        <v>262</v>
      </c>
      <c r="AA1165" s="35" t="s">
        <v>1446</v>
      </c>
      <c r="AB1165" s="32">
        <v>280849</v>
      </c>
      <c r="AC1165" s="32" t="s">
        <v>2637</v>
      </c>
      <c r="AH1165" s="32" t="s">
        <v>411</v>
      </c>
      <c r="AI1165" s="32" t="s">
        <v>1539</v>
      </c>
      <c r="AK1165" s="40" t="s">
        <v>1775</v>
      </c>
      <c r="AL1165" s="32">
        <v>2022</v>
      </c>
      <c r="AM1165" s="32" t="s">
        <v>1776</v>
      </c>
      <c r="AN1165" s="32" t="s">
        <v>1777</v>
      </c>
      <c r="AO1165" s="38" t="s">
        <v>1778</v>
      </c>
      <c r="AP1165" s="35" t="s">
        <v>396</v>
      </c>
    </row>
    <row r="1166" spans="1:42" x14ac:dyDescent="0.2">
      <c r="A1166" s="40">
        <v>118</v>
      </c>
      <c r="B1166" s="40">
        <v>1165</v>
      </c>
      <c r="C1166" s="40" t="s">
        <v>149</v>
      </c>
      <c r="D1166" s="38" t="s">
        <v>148</v>
      </c>
      <c r="E1166" s="32" t="s">
        <v>2183</v>
      </c>
      <c r="F1166" s="32" t="s">
        <v>237</v>
      </c>
      <c r="G1166" s="38" t="s">
        <v>154</v>
      </c>
      <c r="H1166" s="32" t="s">
        <v>242</v>
      </c>
      <c r="I1166" s="32" t="s">
        <v>120</v>
      </c>
      <c r="J1166" s="32" t="s">
        <v>1462</v>
      </c>
      <c r="K1166" s="32" t="s">
        <v>1513</v>
      </c>
      <c r="L1166" s="32" t="s">
        <v>30</v>
      </c>
      <c r="M1166" s="32" t="s">
        <v>30</v>
      </c>
      <c r="N1166" s="40">
        <v>2022</v>
      </c>
      <c r="O1166" s="32">
        <f>VLOOKUP(Data!N868, CPI!$A$2:$B$112, 2, 0)</f>
        <v>240.00700000000001</v>
      </c>
      <c r="P1166" s="32" t="s">
        <v>7</v>
      </c>
      <c r="Q1166" s="32" t="s">
        <v>239</v>
      </c>
      <c r="R1166" s="32" t="s">
        <v>2636</v>
      </c>
      <c r="S1166" s="32">
        <v>1264</v>
      </c>
      <c r="T1166" s="32" t="s">
        <v>316</v>
      </c>
      <c r="U1166" s="32">
        <v>1264</v>
      </c>
      <c r="V1166" s="32" t="s">
        <v>316</v>
      </c>
      <c r="X1166" s="32">
        <f t="shared" si="70"/>
        <v>1264</v>
      </c>
      <c r="Y1166" s="32">
        <f>(CPI!$B$112/O1166)*X1166</f>
        <v>1604.5840829642468</v>
      </c>
      <c r="Z1166" s="38" t="s">
        <v>262</v>
      </c>
      <c r="AA1166" s="35" t="s">
        <v>1446</v>
      </c>
      <c r="AB1166" s="32">
        <v>280849</v>
      </c>
      <c r="AC1166" s="32" t="s">
        <v>2637</v>
      </c>
      <c r="AH1166" s="32" t="s">
        <v>411</v>
      </c>
      <c r="AI1166" s="32" t="s">
        <v>1539</v>
      </c>
      <c r="AK1166" s="40" t="s">
        <v>1775</v>
      </c>
      <c r="AL1166" s="32">
        <v>2022</v>
      </c>
      <c r="AM1166" s="32" t="s">
        <v>1776</v>
      </c>
      <c r="AN1166" s="32" t="s">
        <v>1777</v>
      </c>
      <c r="AO1166" s="38" t="s">
        <v>1778</v>
      </c>
      <c r="AP1166" s="35" t="s">
        <v>396</v>
      </c>
    </row>
    <row r="1167" spans="1:42" x14ac:dyDescent="0.2">
      <c r="A1167" s="40">
        <v>118</v>
      </c>
      <c r="B1167" s="40">
        <v>1166</v>
      </c>
      <c r="C1167" s="40" t="s">
        <v>149</v>
      </c>
      <c r="D1167" s="38" t="s">
        <v>148</v>
      </c>
      <c r="E1167" s="32" t="s">
        <v>2186</v>
      </c>
      <c r="F1167" s="32" t="s">
        <v>29</v>
      </c>
      <c r="G1167" s="38" t="s">
        <v>29</v>
      </c>
      <c r="H1167" s="32" t="s">
        <v>242</v>
      </c>
      <c r="I1167" s="32" t="s">
        <v>120</v>
      </c>
      <c r="J1167" s="32" t="s">
        <v>1462</v>
      </c>
      <c r="K1167" s="32" t="s">
        <v>1513</v>
      </c>
      <c r="L1167" s="32" t="s">
        <v>30</v>
      </c>
      <c r="M1167" s="32" t="s">
        <v>30</v>
      </c>
      <c r="N1167" s="40">
        <v>2021</v>
      </c>
      <c r="O1167" s="32">
        <f>VLOOKUP(Data!N869, CPI!$A$2:$B$112, 2, 0)</f>
        <v>240.00700000000001</v>
      </c>
      <c r="P1167" s="32" t="s">
        <v>56</v>
      </c>
      <c r="Q1167" s="32" t="s">
        <v>239</v>
      </c>
      <c r="R1167" s="32" t="s">
        <v>1773</v>
      </c>
      <c r="S1167" s="32">
        <v>22</v>
      </c>
      <c r="T1167" s="32" t="s">
        <v>316</v>
      </c>
      <c r="U1167" s="32">
        <v>22</v>
      </c>
      <c r="V1167" s="32" t="s">
        <v>316</v>
      </c>
      <c r="X1167" s="32">
        <f t="shared" si="70"/>
        <v>22</v>
      </c>
      <c r="Y1167" s="32">
        <f>(CPI!$B$112/O1167)*X1167</f>
        <v>27.927887519947333</v>
      </c>
      <c r="Z1167" s="38" t="s">
        <v>262</v>
      </c>
      <c r="AA1167" s="35" t="s">
        <v>1706</v>
      </c>
      <c r="AB1167" s="32">
        <v>280849</v>
      </c>
      <c r="AC1167" s="32" t="s">
        <v>2637</v>
      </c>
      <c r="AD1167" s="35" t="s">
        <v>1774</v>
      </c>
      <c r="AH1167" s="32" t="s">
        <v>411</v>
      </c>
      <c r="AK1167" s="40" t="s">
        <v>1775</v>
      </c>
      <c r="AL1167" s="32">
        <v>2022</v>
      </c>
      <c r="AM1167" s="32" t="s">
        <v>1776</v>
      </c>
      <c r="AN1167" s="32" t="s">
        <v>1777</v>
      </c>
      <c r="AO1167" s="38" t="s">
        <v>1778</v>
      </c>
      <c r="AP1167" s="35" t="s">
        <v>396</v>
      </c>
    </row>
    <row r="1168" spans="1:42" x14ac:dyDescent="0.2">
      <c r="A1168" s="40">
        <v>119</v>
      </c>
      <c r="B1168" s="40">
        <v>1167</v>
      </c>
      <c r="C1168" s="40" t="s">
        <v>119</v>
      </c>
      <c r="D1168" s="38" t="s">
        <v>128</v>
      </c>
      <c r="E1168" s="32" t="s">
        <v>2183</v>
      </c>
      <c r="F1168" s="32" t="s">
        <v>48</v>
      </c>
      <c r="G1168" s="38" t="s">
        <v>1779</v>
      </c>
      <c r="H1168" s="32" t="s">
        <v>151</v>
      </c>
      <c r="I1168" s="32" t="s">
        <v>120</v>
      </c>
      <c r="J1168" s="32" t="s">
        <v>1782</v>
      </c>
      <c r="K1168" s="32" t="s">
        <v>1513</v>
      </c>
      <c r="L1168" s="32" t="s">
        <v>30</v>
      </c>
      <c r="M1168" s="32" t="s">
        <v>30</v>
      </c>
      <c r="N1168" s="40">
        <v>2018</v>
      </c>
      <c r="O1168" s="32">
        <f>VLOOKUP(Data!N1130, CPI!$A$2:$B$112, 2, 0)</f>
        <v>304.67675000000003</v>
      </c>
      <c r="P1168" s="32" t="s">
        <v>122</v>
      </c>
      <c r="Q1168" s="32" t="s">
        <v>239</v>
      </c>
      <c r="R1168" s="32" t="s">
        <v>1785</v>
      </c>
      <c r="S1168" s="32">
        <v>870.27</v>
      </c>
      <c r="T1168" s="32" t="s">
        <v>1310</v>
      </c>
      <c r="U1168" s="32">
        <f t="shared" ref="U1168:U1187" si="71">S1168/AB1168</f>
        <v>108.37733499377336</v>
      </c>
      <c r="V1168" s="32" t="s">
        <v>1487</v>
      </c>
      <c r="W1168" s="32">
        <f>VLOOKUP(N1168, 'Exchange rate- Vietnam'!$A$2:$B$65, 2, 0)</f>
        <v>22602.05</v>
      </c>
      <c r="X1168" s="32">
        <f t="shared" ref="X1168:X1175" si="72">U1168/W1168</f>
        <v>4.7950223538914998E-3</v>
      </c>
      <c r="Y1168" s="32">
        <f>(CPI!$B$112/O1168)*X1168</f>
        <v>4.7950223538914998E-3</v>
      </c>
      <c r="Z1168" s="38" t="s">
        <v>1609</v>
      </c>
      <c r="AA1168" s="35" t="s">
        <v>1446</v>
      </c>
      <c r="AB1168" s="32">
        <v>8.0299999999999994</v>
      </c>
      <c r="AC1168" s="32" t="s">
        <v>1464</v>
      </c>
      <c r="AH1168" s="32" t="s">
        <v>411</v>
      </c>
      <c r="AI1168" s="32" t="s">
        <v>1781</v>
      </c>
      <c r="AJ1168" s="35" t="s">
        <v>2638</v>
      </c>
      <c r="AK1168" s="40" t="s">
        <v>1789</v>
      </c>
      <c r="AL1168" s="32">
        <v>2020</v>
      </c>
      <c r="AM1168" s="32" t="s">
        <v>1790</v>
      </c>
      <c r="AN1168" s="32" t="s">
        <v>1791</v>
      </c>
      <c r="AO1168" s="38" t="s">
        <v>1792</v>
      </c>
      <c r="AP1168" s="35" t="s">
        <v>396</v>
      </c>
    </row>
    <row r="1169" spans="1:42" x14ac:dyDescent="0.2">
      <c r="A1169" s="40">
        <v>119</v>
      </c>
      <c r="B1169" s="40">
        <v>1168</v>
      </c>
      <c r="C1169" s="40" t="s">
        <v>119</v>
      </c>
      <c r="D1169" s="38" t="s">
        <v>128</v>
      </c>
      <c r="E1169" s="32" t="s">
        <v>2183</v>
      </c>
      <c r="F1169" s="32" t="s">
        <v>48</v>
      </c>
      <c r="G1169" s="38" t="s">
        <v>1779</v>
      </c>
      <c r="H1169" s="32" t="s">
        <v>151</v>
      </c>
      <c r="I1169" s="32" t="s">
        <v>120</v>
      </c>
      <c r="J1169" s="32" t="s">
        <v>1783</v>
      </c>
      <c r="K1169" s="32" t="s">
        <v>1513</v>
      </c>
      <c r="L1169" s="32" t="s">
        <v>30</v>
      </c>
      <c r="M1169" s="32" t="s">
        <v>30</v>
      </c>
      <c r="N1169" s="40">
        <v>2018</v>
      </c>
      <c r="O1169" s="32">
        <f>VLOOKUP(Data!N1131, CPI!$A$2:$B$112, 2, 0)</f>
        <v>304.67675000000003</v>
      </c>
      <c r="P1169" s="32" t="s">
        <v>122</v>
      </c>
      <c r="Q1169" s="32" t="s">
        <v>239</v>
      </c>
      <c r="R1169" s="32" t="s">
        <v>1785</v>
      </c>
      <c r="S1169" s="32">
        <v>827.96</v>
      </c>
      <c r="T1169" s="32" t="s">
        <v>1310</v>
      </c>
      <c r="U1169" s="32">
        <f t="shared" si="71"/>
        <v>96.386495925494771</v>
      </c>
      <c r="V1169" s="32" t="s">
        <v>1487</v>
      </c>
      <c r="W1169" s="32">
        <f>VLOOKUP(N1169, 'Exchange rate- Vietnam'!$A$2:$B$65, 2, 0)</f>
        <v>22602.05</v>
      </c>
      <c r="X1169" s="32">
        <f t="shared" si="72"/>
        <v>4.2645023759125735E-3</v>
      </c>
      <c r="Y1169" s="32">
        <f>(CPI!$B$112/O1169)*X1169</f>
        <v>4.2645023759125735E-3</v>
      </c>
      <c r="Z1169" s="38" t="s">
        <v>1609</v>
      </c>
      <c r="AA1169" s="35" t="s">
        <v>1446</v>
      </c>
      <c r="AB1169" s="32">
        <v>8.59</v>
      </c>
      <c r="AC1169" s="32" t="s">
        <v>1464</v>
      </c>
      <c r="AH1169" s="32" t="s">
        <v>411</v>
      </c>
      <c r="AI1169" s="32" t="s">
        <v>1781</v>
      </c>
      <c r="AJ1169" s="35" t="s">
        <v>2638</v>
      </c>
      <c r="AK1169" s="40" t="s">
        <v>1789</v>
      </c>
      <c r="AL1169" s="32">
        <v>2020</v>
      </c>
      <c r="AM1169" s="32" t="s">
        <v>1790</v>
      </c>
      <c r="AN1169" s="32" t="s">
        <v>1791</v>
      </c>
      <c r="AO1169" s="38" t="s">
        <v>1792</v>
      </c>
      <c r="AP1169" s="35" t="s">
        <v>396</v>
      </c>
    </row>
    <row r="1170" spans="1:42" x14ac:dyDescent="0.2">
      <c r="A1170" s="40">
        <v>119</v>
      </c>
      <c r="B1170" s="40">
        <v>1169</v>
      </c>
      <c r="C1170" s="40" t="s">
        <v>119</v>
      </c>
      <c r="D1170" s="38" t="s">
        <v>128</v>
      </c>
      <c r="E1170" s="32" t="s">
        <v>2183</v>
      </c>
      <c r="F1170" s="32" t="s">
        <v>48</v>
      </c>
      <c r="G1170" s="38" t="s">
        <v>1779</v>
      </c>
      <c r="H1170" s="32" t="s">
        <v>151</v>
      </c>
      <c r="I1170" s="32" t="s">
        <v>120</v>
      </c>
      <c r="J1170" s="32" t="s">
        <v>1784</v>
      </c>
      <c r="K1170" s="32" t="s">
        <v>1513</v>
      </c>
      <c r="L1170" s="32" t="s">
        <v>30</v>
      </c>
      <c r="M1170" s="32" t="s">
        <v>30</v>
      </c>
      <c r="N1170" s="40">
        <v>2018</v>
      </c>
      <c r="O1170" s="32">
        <f>VLOOKUP(Data!N1132, CPI!$A$2:$B$112, 2, 0)</f>
        <v>304.67675000000003</v>
      </c>
      <c r="P1170" s="32" t="s">
        <v>122</v>
      </c>
      <c r="Q1170" s="32" t="s">
        <v>239</v>
      </c>
      <c r="R1170" s="32" t="s">
        <v>1785</v>
      </c>
      <c r="S1170" s="32">
        <v>876.66899999999998</v>
      </c>
      <c r="T1170" s="32" t="s">
        <v>1310</v>
      </c>
      <c r="U1170" s="32">
        <f t="shared" si="71"/>
        <v>57.223825065274148</v>
      </c>
      <c r="V1170" s="32" t="s">
        <v>1487</v>
      </c>
      <c r="W1170" s="32">
        <f>VLOOKUP(N1170, 'Exchange rate- Vietnam'!$A$2:$B$65, 2, 0)</f>
        <v>22602.05</v>
      </c>
      <c r="X1170" s="32">
        <f t="shared" si="72"/>
        <v>2.531798003511812E-3</v>
      </c>
      <c r="Y1170" s="32">
        <f>(CPI!$B$112/O1170)*X1170</f>
        <v>2.531798003511812E-3</v>
      </c>
      <c r="Z1170" s="38" t="s">
        <v>1609</v>
      </c>
      <c r="AA1170" s="35" t="s">
        <v>1446</v>
      </c>
      <c r="AB1170" s="32">
        <v>15.32</v>
      </c>
      <c r="AC1170" s="32" t="s">
        <v>1464</v>
      </c>
      <c r="AH1170" s="32" t="s">
        <v>411</v>
      </c>
      <c r="AI1170" s="32" t="s">
        <v>1781</v>
      </c>
      <c r="AJ1170" s="35" t="s">
        <v>2638</v>
      </c>
      <c r="AK1170" s="40" t="s">
        <v>1789</v>
      </c>
      <c r="AL1170" s="32">
        <v>2020</v>
      </c>
      <c r="AM1170" s="32" t="s">
        <v>1790</v>
      </c>
      <c r="AN1170" s="32" t="s">
        <v>1791</v>
      </c>
      <c r="AO1170" s="38" t="s">
        <v>1792</v>
      </c>
      <c r="AP1170" s="35" t="s">
        <v>396</v>
      </c>
    </row>
    <row r="1171" spans="1:42" x14ac:dyDescent="0.2">
      <c r="A1171" s="40">
        <v>119</v>
      </c>
      <c r="B1171" s="40">
        <v>1170</v>
      </c>
      <c r="C1171" s="40" t="s">
        <v>119</v>
      </c>
      <c r="D1171" s="38" t="s">
        <v>128</v>
      </c>
      <c r="E1171" s="32" t="s">
        <v>2183</v>
      </c>
      <c r="F1171" s="32" t="s">
        <v>48</v>
      </c>
      <c r="G1171" s="38" t="s">
        <v>1779</v>
      </c>
      <c r="H1171" s="32" t="s">
        <v>151</v>
      </c>
      <c r="I1171" s="32" t="s">
        <v>120</v>
      </c>
      <c r="J1171" s="32" t="s">
        <v>1782</v>
      </c>
      <c r="K1171" s="32" t="s">
        <v>1513</v>
      </c>
      <c r="L1171" s="32" t="s">
        <v>30</v>
      </c>
      <c r="M1171" s="32" t="s">
        <v>30</v>
      </c>
      <c r="N1171" s="40">
        <v>2018</v>
      </c>
      <c r="O1171" s="32">
        <f>VLOOKUP(Data!N1133, CPI!$A$2:$B$112, 2, 0)</f>
        <v>304.67675000000003</v>
      </c>
      <c r="P1171" s="32" t="s">
        <v>122</v>
      </c>
      <c r="Q1171" s="32" t="s">
        <v>239</v>
      </c>
      <c r="R1171" s="32" t="s">
        <v>1786</v>
      </c>
      <c r="S1171" s="32">
        <v>802.41</v>
      </c>
      <c r="T1171" s="32" t="s">
        <v>1310</v>
      </c>
      <c r="U1171" s="32">
        <f t="shared" si="71"/>
        <v>99.926525529265263</v>
      </c>
      <c r="V1171" s="32" t="s">
        <v>1487</v>
      </c>
      <c r="W1171" s="32">
        <f>VLOOKUP(N1171, 'Exchange rate- Vietnam'!$A$2:$B$65, 2, 0)</f>
        <v>22602.05</v>
      </c>
      <c r="X1171" s="32">
        <f t="shared" si="72"/>
        <v>4.4211266468866884E-3</v>
      </c>
      <c r="Y1171" s="32">
        <f>(CPI!$B$112/O1171)*X1171</f>
        <v>4.4211266468866884E-3</v>
      </c>
      <c r="Z1171" s="38" t="s">
        <v>1609</v>
      </c>
      <c r="AA1171" s="35" t="s">
        <v>1446</v>
      </c>
      <c r="AB1171" s="32">
        <v>8.0299999999999994</v>
      </c>
      <c r="AC1171" s="32" t="s">
        <v>1464</v>
      </c>
      <c r="AH1171" s="32" t="s">
        <v>411</v>
      </c>
      <c r="AI1171" s="32" t="s">
        <v>1781</v>
      </c>
      <c r="AJ1171" s="35" t="s">
        <v>2638</v>
      </c>
      <c r="AK1171" s="40" t="s">
        <v>1789</v>
      </c>
      <c r="AL1171" s="32">
        <v>2020</v>
      </c>
      <c r="AM1171" s="32" t="s">
        <v>1790</v>
      </c>
      <c r="AN1171" s="32" t="s">
        <v>1791</v>
      </c>
      <c r="AO1171" s="38" t="s">
        <v>1792</v>
      </c>
      <c r="AP1171" s="35" t="s">
        <v>396</v>
      </c>
    </row>
    <row r="1172" spans="1:42" x14ac:dyDescent="0.2">
      <c r="A1172" s="40">
        <v>119</v>
      </c>
      <c r="B1172" s="40">
        <v>1171</v>
      </c>
      <c r="C1172" s="40" t="s">
        <v>119</v>
      </c>
      <c r="D1172" s="38" t="s">
        <v>128</v>
      </c>
      <c r="E1172" s="32" t="s">
        <v>2183</v>
      </c>
      <c r="F1172" s="32" t="s">
        <v>48</v>
      </c>
      <c r="G1172" s="38" t="s">
        <v>1779</v>
      </c>
      <c r="H1172" s="32" t="s">
        <v>151</v>
      </c>
      <c r="I1172" s="32" t="s">
        <v>120</v>
      </c>
      <c r="J1172" s="32" t="s">
        <v>1783</v>
      </c>
      <c r="K1172" s="32" t="s">
        <v>1513</v>
      </c>
      <c r="L1172" s="32" t="s">
        <v>30</v>
      </c>
      <c r="M1172" s="32" t="s">
        <v>30</v>
      </c>
      <c r="N1172" s="40">
        <v>2018</v>
      </c>
      <c r="O1172" s="32">
        <f>VLOOKUP(Data!N1134, CPI!$A$2:$B$112, 2, 0)</f>
        <v>304.67675000000003</v>
      </c>
      <c r="P1172" s="32" t="s">
        <v>122</v>
      </c>
      <c r="Q1172" s="32" t="s">
        <v>239</v>
      </c>
      <c r="R1172" s="32" t="s">
        <v>1786</v>
      </c>
      <c r="S1172" s="32">
        <v>771.28</v>
      </c>
      <c r="T1172" s="32" t="s">
        <v>1310</v>
      </c>
      <c r="U1172" s="32">
        <f t="shared" si="71"/>
        <v>89.788125727590213</v>
      </c>
      <c r="V1172" s="32" t="s">
        <v>1487</v>
      </c>
      <c r="W1172" s="32">
        <f>VLOOKUP(N1172, 'Exchange rate- Vietnam'!$A$2:$B$65, 2, 0)</f>
        <v>22602.05</v>
      </c>
      <c r="X1172" s="32">
        <f t="shared" si="72"/>
        <v>3.9725655738125617E-3</v>
      </c>
      <c r="Y1172" s="32">
        <f>(CPI!$B$112/O1172)*X1172</f>
        <v>3.9725655738125617E-3</v>
      </c>
      <c r="Z1172" s="38" t="s">
        <v>1609</v>
      </c>
      <c r="AA1172" s="35" t="s">
        <v>1446</v>
      </c>
      <c r="AB1172" s="32">
        <v>8.59</v>
      </c>
      <c r="AC1172" s="32" t="s">
        <v>1464</v>
      </c>
      <c r="AH1172" s="32" t="s">
        <v>411</v>
      </c>
      <c r="AI1172" s="32" t="s">
        <v>1781</v>
      </c>
      <c r="AJ1172" s="35" t="s">
        <v>2638</v>
      </c>
      <c r="AK1172" s="40" t="s">
        <v>1789</v>
      </c>
      <c r="AL1172" s="32">
        <v>2020</v>
      </c>
      <c r="AM1172" s="32" t="s">
        <v>1790</v>
      </c>
      <c r="AN1172" s="32" t="s">
        <v>1791</v>
      </c>
      <c r="AO1172" s="38" t="s">
        <v>1792</v>
      </c>
      <c r="AP1172" s="35" t="s">
        <v>396</v>
      </c>
    </row>
    <row r="1173" spans="1:42" x14ac:dyDescent="0.2">
      <c r="A1173" s="40">
        <v>119</v>
      </c>
      <c r="B1173" s="40">
        <v>1172</v>
      </c>
      <c r="C1173" s="40" t="s">
        <v>119</v>
      </c>
      <c r="D1173" s="38" t="s">
        <v>128</v>
      </c>
      <c r="E1173" s="32" t="s">
        <v>2183</v>
      </c>
      <c r="F1173" s="32" t="s">
        <v>48</v>
      </c>
      <c r="G1173" s="38" t="s">
        <v>1779</v>
      </c>
      <c r="H1173" s="32" t="s">
        <v>151</v>
      </c>
      <c r="I1173" s="32" t="s">
        <v>120</v>
      </c>
      <c r="J1173" s="32" t="s">
        <v>1784</v>
      </c>
      <c r="K1173" s="32" t="s">
        <v>1513</v>
      </c>
      <c r="L1173" s="32" t="s">
        <v>30</v>
      </c>
      <c r="M1173" s="32" t="s">
        <v>30</v>
      </c>
      <c r="N1173" s="40">
        <v>2018</v>
      </c>
      <c r="O1173" s="32">
        <f>VLOOKUP(Data!N1135, CPI!$A$2:$B$112, 2, 0)</f>
        <v>304.67675000000003</v>
      </c>
      <c r="P1173" s="32" t="s">
        <v>122</v>
      </c>
      <c r="Q1173" s="32" t="s">
        <v>239</v>
      </c>
      <c r="R1173" s="32" t="s">
        <v>1786</v>
      </c>
      <c r="S1173" s="32">
        <v>811.35</v>
      </c>
      <c r="T1173" s="32" t="s">
        <v>1310</v>
      </c>
      <c r="U1173" s="32">
        <f t="shared" si="71"/>
        <v>52.960182767624019</v>
      </c>
      <c r="V1173" s="32" t="s">
        <v>1487</v>
      </c>
      <c r="W1173" s="32">
        <f>VLOOKUP(N1173, 'Exchange rate- Vietnam'!$A$2:$B$65, 2, 0)</f>
        <v>22602.05</v>
      </c>
      <c r="X1173" s="32">
        <f t="shared" si="72"/>
        <v>2.3431583757944087E-3</v>
      </c>
      <c r="Y1173" s="32">
        <f>(CPI!$B$112/O1173)*X1173</f>
        <v>2.3431583757944087E-3</v>
      </c>
      <c r="Z1173" s="38" t="s">
        <v>1609</v>
      </c>
      <c r="AA1173" s="35" t="s">
        <v>1446</v>
      </c>
      <c r="AB1173" s="32">
        <v>15.32</v>
      </c>
      <c r="AC1173" s="32" t="s">
        <v>1464</v>
      </c>
      <c r="AH1173" s="32" t="s">
        <v>411</v>
      </c>
      <c r="AI1173" s="32" t="s">
        <v>1781</v>
      </c>
      <c r="AJ1173" s="35" t="s">
        <v>2638</v>
      </c>
      <c r="AK1173" s="40" t="s">
        <v>1789</v>
      </c>
      <c r="AL1173" s="32">
        <v>2020</v>
      </c>
      <c r="AM1173" s="32" t="s">
        <v>1790</v>
      </c>
      <c r="AN1173" s="32" t="s">
        <v>1791</v>
      </c>
      <c r="AO1173" s="38" t="s">
        <v>1792</v>
      </c>
      <c r="AP1173" s="35" t="s">
        <v>396</v>
      </c>
    </row>
    <row r="1174" spans="1:42" x14ac:dyDescent="0.2">
      <c r="A1174" s="40">
        <v>119</v>
      </c>
      <c r="B1174" s="40">
        <v>1173</v>
      </c>
      <c r="C1174" s="40" t="s">
        <v>119</v>
      </c>
      <c r="D1174" s="38" t="s">
        <v>128</v>
      </c>
      <c r="E1174" s="32" t="s">
        <v>2183</v>
      </c>
      <c r="F1174" s="32" t="s">
        <v>48</v>
      </c>
      <c r="G1174" s="38" t="s">
        <v>1779</v>
      </c>
      <c r="H1174" s="32" t="s">
        <v>151</v>
      </c>
      <c r="I1174" s="32" t="s">
        <v>120</v>
      </c>
      <c r="J1174" s="32" t="s">
        <v>1780</v>
      </c>
      <c r="K1174" s="32" t="s">
        <v>1513</v>
      </c>
      <c r="L1174" s="32" t="s">
        <v>30</v>
      </c>
      <c r="M1174" s="32" t="s">
        <v>30</v>
      </c>
      <c r="N1174" s="40">
        <v>2018</v>
      </c>
      <c r="O1174" s="32">
        <f>VLOOKUP(Data!N1136, CPI!$A$2:$B$112, 2, 0)</f>
        <v>304.67675000000003</v>
      </c>
      <c r="P1174" s="32" t="s">
        <v>122</v>
      </c>
      <c r="Q1174" s="32" t="s">
        <v>239</v>
      </c>
      <c r="R1174" s="32" t="s">
        <v>1787</v>
      </c>
      <c r="S1174" s="32">
        <v>854.49</v>
      </c>
      <c r="T1174" s="32" t="s">
        <v>1310</v>
      </c>
      <c r="U1174" s="32">
        <f t="shared" si="71"/>
        <v>55.776109660574413</v>
      </c>
      <c r="V1174" s="32" t="s">
        <v>1487</v>
      </c>
      <c r="W1174" s="32">
        <f>VLOOKUP(N1174, 'Exchange rate- Vietnam'!$A$2:$B$65, 2, 0)</f>
        <v>22602.05</v>
      </c>
      <c r="X1174" s="32">
        <f t="shared" si="72"/>
        <v>2.4677456098262953E-3</v>
      </c>
      <c r="Y1174" s="32">
        <f>(CPI!$B$112/O1174)*X1174</f>
        <v>2.4677456098262953E-3</v>
      </c>
      <c r="Z1174" s="38" t="s">
        <v>1609</v>
      </c>
      <c r="AA1174" s="35" t="s">
        <v>1412</v>
      </c>
      <c r="AB1174" s="32">
        <v>15.32</v>
      </c>
      <c r="AC1174" s="32" t="s">
        <v>1464</v>
      </c>
      <c r="AH1174" s="32" t="s">
        <v>411</v>
      </c>
      <c r="AI1174" s="32" t="s">
        <v>1781</v>
      </c>
      <c r="AJ1174" s="35" t="s">
        <v>2638</v>
      </c>
      <c r="AK1174" s="40" t="s">
        <v>1789</v>
      </c>
      <c r="AL1174" s="32">
        <v>2020</v>
      </c>
      <c r="AM1174" s="32" t="s">
        <v>1790</v>
      </c>
      <c r="AN1174" s="32" t="s">
        <v>1791</v>
      </c>
      <c r="AO1174" s="38" t="s">
        <v>1792</v>
      </c>
      <c r="AP1174" s="35" t="s">
        <v>396</v>
      </c>
    </row>
    <row r="1175" spans="1:42" x14ac:dyDescent="0.2">
      <c r="A1175" s="40">
        <v>119</v>
      </c>
      <c r="B1175" s="40">
        <v>1174</v>
      </c>
      <c r="C1175" s="40" t="s">
        <v>119</v>
      </c>
      <c r="D1175" s="38" t="s">
        <v>128</v>
      </c>
      <c r="E1175" s="32" t="s">
        <v>2183</v>
      </c>
      <c r="F1175" s="32" t="s">
        <v>48</v>
      </c>
      <c r="G1175" s="38" t="s">
        <v>1779</v>
      </c>
      <c r="H1175" s="32" t="s">
        <v>151</v>
      </c>
      <c r="I1175" s="32" t="s">
        <v>120</v>
      </c>
      <c r="J1175" s="32" t="s">
        <v>1780</v>
      </c>
      <c r="K1175" s="32" t="s">
        <v>1513</v>
      </c>
      <c r="L1175" s="32" t="s">
        <v>30</v>
      </c>
      <c r="M1175" s="32" t="s">
        <v>30</v>
      </c>
      <c r="N1175" s="40">
        <v>2018</v>
      </c>
      <c r="O1175" s="32">
        <f>VLOOKUP(Data!N1137, CPI!$A$2:$B$112, 2, 0)</f>
        <v>304.67675000000003</v>
      </c>
      <c r="P1175" s="32" t="s">
        <v>122</v>
      </c>
      <c r="Q1175" s="32" t="s">
        <v>239</v>
      </c>
      <c r="R1175" s="32" t="s">
        <v>1788</v>
      </c>
      <c r="S1175" s="32">
        <v>794.31</v>
      </c>
      <c r="T1175" s="32" t="s">
        <v>1310</v>
      </c>
      <c r="U1175" s="32">
        <f t="shared" si="71"/>
        <v>51.847911227154043</v>
      </c>
      <c r="V1175" s="32" t="s">
        <v>1487</v>
      </c>
      <c r="W1175" s="32">
        <f>VLOOKUP(N1175, 'Exchange rate- Vietnam'!$A$2:$B$65, 2, 0)</f>
        <v>22602.05</v>
      </c>
      <c r="X1175" s="32">
        <f t="shared" si="72"/>
        <v>2.2939472847442618E-3</v>
      </c>
      <c r="Y1175" s="32">
        <f>(CPI!$B$112/O1175)*X1175</f>
        <v>2.2939472847442618E-3</v>
      </c>
      <c r="Z1175" s="38" t="s">
        <v>1609</v>
      </c>
      <c r="AA1175" s="35" t="s">
        <v>1412</v>
      </c>
      <c r="AB1175" s="32">
        <v>15.32</v>
      </c>
      <c r="AC1175" s="32" t="s">
        <v>1464</v>
      </c>
      <c r="AH1175" s="32" t="s">
        <v>411</v>
      </c>
      <c r="AI1175" s="32" t="s">
        <v>1781</v>
      </c>
      <c r="AJ1175" s="35" t="s">
        <v>2638</v>
      </c>
      <c r="AK1175" s="40" t="s">
        <v>1789</v>
      </c>
      <c r="AL1175" s="32">
        <v>2020</v>
      </c>
      <c r="AM1175" s="32" t="s">
        <v>1790</v>
      </c>
      <c r="AN1175" s="32" t="s">
        <v>1791</v>
      </c>
      <c r="AO1175" s="38" t="s">
        <v>1792</v>
      </c>
      <c r="AP1175" s="35" t="s">
        <v>396</v>
      </c>
    </row>
    <row r="1176" spans="1:42" x14ac:dyDescent="0.2">
      <c r="A1176" s="40">
        <v>120</v>
      </c>
      <c r="B1176" s="40">
        <v>1175</v>
      </c>
      <c r="C1176" s="40" t="s">
        <v>114</v>
      </c>
      <c r="D1176" s="38" t="s">
        <v>218</v>
      </c>
      <c r="E1176" s="32" t="s">
        <v>2184</v>
      </c>
      <c r="F1176" s="32" t="s">
        <v>131</v>
      </c>
      <c r="G1176" s="38" t="s">
        <v>133</v>
      </c>
      <c r="H1176" s="32" t="s">
        <v>151</v>
      </c>
      <c r="I1176" s="32" t="s">
        <v>120</v>
      </c>
      <c r="J1176" s="32" t="s">
        <v>1808</v>
      </c>
      <c r="K1176" s="32" t="s">
        <v>1513</v>
      </c>
      <c r="L1176" s="32" t="s">
        <v>30</v>
      </c>
      <c r="M1176" s="32" t="s">
        <v>30</v>
      </c>
      <c r="N1176" s="40">
        <v>2010</v>
      </c>
      <c r="O1176" s="32">
        <f>VLOOKUP(Data!N870, CPI!$A$2:$B$112, 2, 0)</f>
        <v>240.00700000000001</v>
      </c>
      <c r="P1176" s="32" t="s">
        <v>238</v>
      </c>
      <c r="Q1176" s="32" t="s">
        <v>172</v>
      </c>
      <c r="R1176" s="32" t="s">
        <v>1794</v>
      </c>
      <c r="S1176" s="32">
        <v>13396000000</v>
      </c>
      <c r="T1176" s="32" t="s">
        <v>608</v>
      </c>
      <c r="U1176" s="32">
        <f t="shared" si="71"/>
        <v>6546.5</v>
      </c>
      <c r="V1176" s="32" t="s">
        <v>316</v>
      </c>
      <c r="X1176" s="32">
        <f t="shared" ref="X1176:X1211" si="73">U1176</f>
        <v>6546.5</v>
      </c>
      <c r="Y1176" s="32">
        <f>(CPI!$B$112/O1176)*X1176</f>
        <v>8310.4507113334203</v>
      </c>
      <c r="Z1176" s="38" t="s">
        <v>262</v>
      </c>
      <c r="AA1176" s="35" t="s">
        <v>1445</v>
      </c>
      <c r="AB1176" s="32">
        <f>267920000/130.93</f>
        <v>2046284.274039563</v>
      </c>
      <c r="AC1176" s="32" t="s">
        <v>1464</v>
      </c>
      <c r="AH1176" s="32" t="s">
        <v>411</v>
      </c>
      <c r="AI1176" s="32" t="s">
        <v>1799</v>
      </c>
      <c r="AK1176" s="40" t="s">
        <v>1816</v>
      </c>
      <c r="AL1176" s="32">
        <v>2020</v>
      </c>
      <c r="AM1176" s="32" t="s">
        <v>1817</v>
      </c>
      <c r="AN1176" s="32" t="s">
        <v>1818</v>
      </c>
      <c r="AO1176" s="38" t="s">
        <v>1819</v>
      </c>
      <c r="AP1176" s="35" t="s">
        <v>396</v>
      </c>
    </row>
    <row r="1177" spans="1:42" x14ac:dyDescent="0.2">
      <c r="A1177" s="40">
        <v>120</v>
      </c>
      <c r="B1177" s="40">
        <v>1176</v>
      </c>
      <c r="C1177" s="40" t="s">
        <v>114</v>
      </c>
      <c r="D1177" s="38" t="s">
        <v>218</v>
      </c>
      <c r="E1177" s="32" t="s">
        <v>2184</v>
      </c>
      <c r="F1177" s="32" t="s">
        <v>131</v>
      </c>
      <c r="G1177" s="38" t="s">
        <v>133</v>
      </c>
      <c r="H1177" s="32" t="s">
        <v>151</v>
      </c>
      <c r="I1177" s="32" t="s">
        <v>120</v>
      </c>
      <c r="J1177" s="32" t="s">
        <v>1808</v>
      </c>
      <c r="K1177" s="32" t="s">
        <v>1513</v>
      </c>
      <c r="L1177" s="32" t="s">
        <v>30</v>
      </c>
      <c r="M1177" s="32" t="s">
        <v>30</v>
      </c>
      <c r="N1177" s="40">
        <v>2010</v>
      </c>
      <c r="O1177" s="32">
        <f>VLOOKUP(Data!N871, CPI!$A$2:$B$112, 2, 0)</f>
        <v>240.00700000000001</v>
      </c>
      <c r="P1177" s="32" t="s">
        <v>238</v>
      </c>
      <c r="Q1177" s="32" t="s">
        <v>172</v>
      </c>
      <c r="R1177" s="32" t="s">
        <v>1803</v>
      </c>
      <c r="S1177" s="32">
        <v>8683700000</v>
      </c>
      <c r="T1177" s="32" t="s">
        <v>608</v>
      </c>
      <c r="U1177" s="32">
        <f t="shared" si="71"/>
        <v>4242.4686566624487</v>
      </c>
      <c r="V1177" s="32" t="s">
        <v>316</v>
      </c>
      <c r="X1177" s="32">
        <f t="shared" si="73"/>
        <v>4242.4686566624487</v>
      </c>
      <c r="Y1177" s="32">
        <f>(CPI!$B$112/O1177)*X1177</f>
        <v>5385.5994295532246</v>
      </c>
      <c r="Z1177" s="38" t="s">
        <v>262</v>
      </c>
      <c r="AA1177" s="35" t="s">
        <v>1445</v>
      </c>
      <c r="AB1177" s="32">
        <f>276550000/135.11</f>
        <v>2046850.7142328471</v>
      </c>
      <c r="AC1177" s="32" t="s">
        <v>1464</v>
      </c>
      <c r="AH1177" s="32" t="s">
        <v>411</v>
      </c>
      <c r="AI1177" s="32" t="s">
        <v>1799</v>
      </c>
      <c r="AK1177" s="40" t="s">
        <v>1816</v>
      </c>
      <c r="AL1177" s="32">
        <v>2020</v>
      </c>
      <c r="AM1177" s="32" t="s">
        <v>1817</v>
      </c>
      <c r="AN1177" s="32" t="s">
        <v>1818</v>
      </c>
      <c r="AO1177" s="38" t="s">
        <v>1819</v>
      </c>
      <c r="AP1177" s="35" t="s">
        <v>396</v>
      </c>
    </row>
    <row r="1178" spans="1:42" x14ac:dyDescent="0.2">
      <c r="A1178" s="40">
        <v>120</v>
      </c>
      <c r="B1178" s="40">
        <v>1177</v>
      </c>
      <c r="C1178" s="40" t="s">
        <v>114</v>
      </c>
      <c r="D1178" s="38" t="s">
        <v>218</v>
      </c>
      <c r="E1178" s="32" t="s">
        <v>2184</v>
      </c>
      <c r="F1178" s="32" t="s">
        <v>131</v>
      </c>
      <c r="G1178" s="38" t="s">
        <v>133</v>
      </c>
      <c r="H1178" s="32" t="s">
        <v>151</v>
      </c>
      <c r="I1178" s="32" t="s">
        <v>120</v>
      </c>
      <c r="J1178" s="32" t="s">
        <v>1808</v>
      </c>
      <c r="K1178" s="32" t="s">
        <v>1513</v>
      </c>
      <c r="L1178" s="32" t="s">
        <v>30</v>
      </c>
      <c r="M1178" s="32" t="s">
        <v>30</v>
      </c>
      <c r="N1178" s="40">
        <v>2010</v>
      </c>
      <c r="O1178" s="32">
        <f>VLOOKUP(Data!N872, CPI!$A$2:$B$112, 2, 0)</f>
        <v>240.00700000000001</v>
      </c>
      <c r="P1178" s="32" t="s">
        <v>238</v>
      </c>
      <c r="Q1178" s="32" t="s">
        <v>172</v>
      </c>
      <c r="R1178" s="32" t="s">
        <v>1798</v>
      </c>
      <c r="S1178" s="32">
        <v>13827500000</v>
      </c>
      <c r="T1178" s="32" t="s">
        <v>608</v>
      </c>
      <c r="U1178" s="32">
        <f t="shared" si="71"/>
        <v>6755.5000000000009</v>
      </c>
      <c r="V1178" s="32" t="s">
        <v>316</v>
      </c>
      <c r="X1178" s="32">
        <f t="shared" si="73"/>
        <v>6755.5000000000009</v>
      </c>
      <c r="Y1178" s="32">
        <f>(CPI!$B$112/O1178)*X1178</f>
        <v>8575.7656427729198</v>
      </c>
      <c r="Z1178" s="38" t="s">
        <v>262</v>
      </c>
      <c r="AA1178" s="35" t="s">
        <v>1445</v>
      </c>
      <c r="AB1178" s="32">
        <f>276550000/135.11</f>
        <v>2046850.7142328471</v>
      </c>
      <c r="AC1178" s="32" t="s">
        <v>1464</v>
      </c>
      <c r="AH1178" s="32" t="s">
        <v>411</v>
      </c>
      <c r="AI1178" s="32" t="s">
        <v>1799</v>
      </c>
      <c r="AK1178" s="40" t="s">
        <v>1816</v>
      </c>
      <c r="AL1178" s="32">
        <v>2020</v>
      </c>
      <c r="AM1178" s="32" t="s">
        <v>1817</v>
      </c>
      <c r="AN1178" s="32" t="s">
        <v>1818</v>
      </c>
      <c r="AO1178" s="38" t="s">
        <v>1819</v>
      </c>
      <c r="AP1178" s="35" t="s">
        <v>396</v>
      </c>
    </row>
    <row r="1179" spans="1:42" x14ac:dyDescent="0.2">
      <c r="A1179" s="40">
        <v>120</v>
      </c>
      <c r="B1179" s="40">
        <v>1178</v>
      </c>
      <c r="C1179" s="40" t="s">
        <v>114</v>
      </c>
      <c r="D1179" s="38" t="s">
        <v>218</v>
      </c>
      <c r="E1179" s="32" t="s">
        <v>2184</v>
      </c>
      <c r="F1179" s="32" t="s">
        <v>131</v>
      </c>
      <c r="G1179" s="38" t="s">
        <v>133</v>
      </c>
      <c r="H1179" s="32" t="s">
        <v>151</v>
      </c>
      <c r="I1179" s="32" t="s">
        <v>120</v>
      </c>
      <c r="J1179" s="32" t="s">
        <v>1808</v>
      </c>
      <c r="K1179" s="32" t="s">
        <v>1513</v>
      </c>
      <c r="L1179" s="32" t="s">
        <v>30</v>
      </c>
      <c r="M1179" s="32" t="s">
        <v>30</v>
      </c>
      <c r="N1179" s="40">
        <v>2010</v>
      </c>
      <c r="O1179" s="32">
        <f>VLOOKUP(Data!N873, CPI!$A$2:$B$112, 2, 0)</f>
        <v>240.00700000000001</v>
      </c>
      <c r="P1179" s="32" t="s">
        <v>238</v>
      </c>
      <c r="Q1179" s="32" t="s">
        <v>172</v>
      </c>
      <c r="R1179" s="32" t="s">
        <v>1804</v>
      </c>
      <c r="S1179" s="32">
        <v>22372900000</v>
      </c>
      <c r="T1179" s="32" t="s">
        <v>608</v>
      </c>
      <c r="U1179" s="32">
        <f t="shared" si="71"/>
        <v>10930.401442777076</v>
      </c>
      <c r="V1179" s="32" t="s">
        <v>316</v>
      </c>
      <c r="X1179" s="32">
        <f t="shared" si="73"/>
        <v>10930.401442777076</v>
      </c>
      <c r="Y1179" s="32">
        <f>(CPI!$B$112/O1179)*X1179</f>
        <v>13875.591910988556</v>
      </c>
      <c r="Z1179" s="38" t="s">
        <v>262</v>
      </c>
      <c r="AA1179" s="35" t="s">
        <v>1445</v>
      </c>
      <c r="AB1179" s="32">
        <f>276550000/135.11</f>
        <v>2046850.7142328471</v>
      </c>
      <c r="AC1179" s="32" t="s">
        <v>1464</v>
      </c>
      <c r="AH1179" s="32" t="s">
        <v>411</v>
      </c>
      <c r="AI1179" s="32" t="s">
        <v>1799</v>
      </c>
      <c r="AK1179" s="40" t="s">
        <v>1816</v>
      </c>
      <c r="AL1179" s="32">
        <v>2020</v>
      </c>
      <c r="AM1179" s="32" t="s">
        <v>1817</v>
      </c>
      <c r="AN1179" s="32" t="s">
        <v>1818</v>
      </c>
      <c r="AO1179" s="38" t="s">
        <v>1819</v>
      </c>
      <c r="AP1179" s="35" t="s">
        <v>396</v>
      </c>
    </row>
    <row r="1180" spans="1:42" x14ac:dyDescent="0.2">
      <c r="A1180" s="40">
        <v>120</v>
      </c>
      <c r="B1180" s="40">
        <v>1179</v>
      </c>
      <c r="C1180" s="40" t="s">
        <v>114</v>
      </c>
      <c r="D1180" s="38" t="s">
        <v>218</v>
      </c>
      <c r="E1180" s="32" t="s">
        <v>2184</v>
      </c>
      <c r="F1180" s="32" t="s">
        <v>131</v>
      </c>
      <c r="G1180" s="38" t="s">
        <v>133</v>
      </c>
      <c r="H1180" s="32" t="s">
        <v>151</v>
      </c>
      <c r="I1180" s="32" t="s">
        <v>120</v>
      </c>
      <c r="J1180" s="32" t="s">
        <v>1808</v>
      </c>
      <c r="K1180" s="32" t="s">
        <v>1513</v>
      </c>
      <c r="L1180" s="32" t="s">
        <v>30</v>
      </c>
      <c r="M1180" s="32" t="s">
        <v>30</v>
      </c>
      <c r="N1180" s="40">
        <v>2010</v>
      </c>
      <c r="O1180" s="32">
        <f>VLOOKUP(Data!N874, CPI!$A$2:$B$112, 2, 0)</f>
        <v>207.3</v>
      </c>
      <c r="P1180" s="32" t="s">
        <v>238</v>
      </c>
      <c r="Q1180" s="32" t="s">
        <v>172</v>
      </c>
      <c r="R1180" s="32" t="s">
        <v>1795</v>
      </c>
      <c r="S1180" s="32">
        <v>21674700000</v>
      </c>
      <c r="T1180" s="32" t="s">
        <v>608</v>
      </c>
      <c r="U1180" s="32">
        <f t="shared" si="71"/>
        <v>10592.22331666169</v>
      </c>
      <c r="V1180" s="32" t="s">
        <v>316</v>
      </c>
      <c r="X1180" s="32">
        <f t="shared" si="73"/>
        <v>10592.22331666169</v>
      </c>
      <c r="Y1180" s="32">
        <f>(CPI!$B$112/O1180)*X1180</f>
        <v>15567.796311600119</v>
      </c>
      <c r="Z1180" s="38" t="s">
        <v>262</v>
      </c>
      <c r="AA1180" s="35" t="s">
        <v>1445</v>
      </c>
      <c r="AB1180" s="32">
        <f>267920000/130.93</f>
        <v>2046284.274039563</v>
      </c>
      <c r="AC1180" s="32" t="s">
        <v>1464</v>
      </c>
      <c r="AH1180" s="32" t="s">
        <v>411</v>
      </c>
      <c r="AI1180" s="32" t="s">
        <v>1800</v>
      </c>
      <c r="AK1180" s="40" t="s">
        <v>1816</v>
      </c>
      <c r="AL1180" s="32">
        <v>2020</v>
      </c>
      <c r="AM1180" s="32" t="s">
        <v>1817</v>
      </c>
      <c r="AN1180" s="32" t="s">
        <v>1818</v>
      </c>
      <c r="AO1180" s="38" t="s">
        <v>1819</v>
      </c>
      <c r="AP1180" s="35" t="s">
        <v>396</v>
      </c>
    </row>
    <row r="1181" spans="1:42" x14ac:dyDescent="0.2">
      <c r="A1181" s="40">
        <v>120</v>
      </c>
      <c r="B1181" s="40">
        <v>1180</v>
      </c>
      <c r="C1181" s="40" t="s">
        <v>114</v>
      </c>
      <c r="D1181" s="38" t="s">
        <v>218</v>
      </c>
      <c r="E1181" s="32" t="s">
        <v>2184</v>
      </c>
      <c r="F1181" s="32" t="s">
        <v>131</v>
      </c>
      <c r="G1181" s="38" t="s">
        <v>133</v>
      </c>
      <c r="H1181" s="32" t="s">
        <v>151</v>
      </c>
      <c r="I1181" s="32" t="s">
        <v>120</v>
      </c>
      <c r="J1181" s="32" t="s">
        <v>1808</v>
      </c>
      <c r="K1181" s="32" t="s">
        <v>1513</v>
      </c>
      <c r="L1181" s="32" t="s">
        <v>30</v>
      </c>
      <c r="M1181" s="32" t="s">
        <v>30</v>
      </c>
      <c r="N1181" s="40">
        <v>2010</v>
      </c>
      <c r="O1181" s="32">
        <f>VLOOKUP(Data!N875, CPI!$A$2:$B$112, 2, 0)</f>
        <v>207.3</v>
      </c>
      <c r="P1181" s="32" t="s">
        <v>238</v>
      </c>
      <c r="Q1181" s="32" t="s">
        <v>172</v>
      </c>
      <c r="R1181" s="32" t="s">
        <v>1805</v>
      </c>
      <c r="S1181" s="32">
        <v>8453500000</v>
      </c>
      <c r="T1181" s="32" t="s">
        <v>608</v>
      </c>
      <c r="U1181" s="32">
        <f t="shared" si="71"/>
        <v>4130.9800906321971</v>
      </c>
      <c r="V1181" s="32" t="s">
        <v>316</v>
      </c>
      <c r="X1181" s="32">
        <f t="shared" si="73"/>
        <v>4130.9800906321971</v>
      </c>
      <c r="Y1181" s="32">
        <f>(CPI!$B$112/O1181)*X1181</f>
        <v>6071.4596639099054</v>
      </c>
      <c r="Z1181" s="38" t="s">
        <v>262</v>
      </c>
      <c r="AA1181" s="35" t="s">
        <v>1445</v>
      </c>
      <c r="AB1181" s="32">
        <f>269220000/131.56</f>
        <v>2046366.6768014594</v>
      </c>
      <c r="AC1181" s="32" t="s">
        <v>1464</v>
      </c>
      <c r="AH1181" s="32" t="s">
        <v>411</v>
      </c>
      <c r="AI1181" s="32" t="s">
        <v>1800</v>
      </c>
      <c r="AK1181" s="40" t="s">
        <v>1816</v>
      </c>
      <c r="AL1181" s="32">
        <v>2020</v>
      </c>
      <c r="AM1181" s="32" t="s">
        <v>1817</v>
      </c>
      <c r="AN1181" s="32" t="s">
        <v>1818</v>
      </c>
      <c r="AO1181" s="38" t="s">
        <v>1819</v>
      </c>
      <c r="AP1181" s="35" t="s">
        <v>396</v>
      </c>
    </row>
    <row r="1182" spans="1:42" x14ac:dyDescent="0.2">
      <c r="A1182" s="40">
        <v>120</v>
      </c>
      <c r="B1182" s="40">
        <v>1181</v>
      </c>
      <c r="C1182" s="40" t="s">
        <v>114</v>
      </c>
      <c r="D1182" s="38" t="s">
        <v>218</v>
      </c>
      <c r="E1182" s="32" t="s">
        <v>2184</v>
      </c>
      <c r="F1182" s="32" t="s">
        <v>131</v>
      </c>
      <c r="G1182" s="38" t="s">
        <v>133</v>
      </c>
      <c r="H1182" s="32" t="s">
        <v>151</v>
      </c>
      <c r="I1182" s="32" t="s">
        <v>120</v>
      </c>
      <c r="J1182" s="32" t="s">
        <v>1808</v>
      </c>
      <c r="K1182" s="32" t="s">
        <v>1513</v>
      </c>
      <c r="L1182" s="32" t="s">
        <v>30</v>
      </c>
      <c r="M1182" s="32" t="s">
        <v>30</v>
      </c>
      <c r="N1182" s="40">
        <v>2010</v>
      </c>
      <c r="O1182" s="32">
        <f>VLOOKUP(Data!N876, CPI!$A$2:$B$112, 2, 0)</f>
        <v>207.3</v>
      </c>
      <c r="P1182" s="32" t="s">
        <v>238</v>
      </c>
      <c r="Q1182" s="32" t="s">
        <v>172</v>
      </c>
      <c r="R1182" s="32" t="s">
        <v>1806</v>
      </c>
      <c r="S1182" s="32">
        <v>13461000000</v>
      </c>
      <c r="T1182" s="32" t="s">
        <v>608</v>
      </c>
      <c r="U1182" s="32">
        <f t="shared" si="71"/>
        <v>6578</v>
      </c>
      <c r="V1182" s="32" t="s">
        <v>316</v>
      </c>
      <c r="X1182" s="32">
        <f t="shared" si="73"/>
        <v>6578</v>
      </c>
      <c r="Y1182" s="32">
        <f>(CPI!$B$112/O1182)*X1182</f>
        <v>9667.9385504100355</v>
      </c>
      <c r="Z1182" s="38" t="s">
        <v>262</v>
      </c>
      <c r="AA1182" s="35" t="s">
        <v>1445</v>
      </c>
      <c r="AB1182" s="32">
        <f>269220000/131.56</f>
        <v>2046366.6768014594</v>
      </c>
      <c r="AC1182" s="32" t="s">
        <v>1464</v>
      </c>
      <c r="AH1182" s="32" t="s">
        <v>411</v>
      </c>
      <c r="AI1182" s="32" t="s">
        <v>1800</v>
      </c>
      <c r="AK1182" s="40" t="s">
        <v>1816</v>
      </c>
      <c r="AL1182" s="32">
        <v>2020</v>
      </c>
      <c r="AM1182" s="32" t="s">
        <v>1817</v>
      </c>
      <c r="AN1182" s="32" t="s">
        <v>1818</v>
      </c>
      <c r="AO1182" s="38" t="s">
        <v>1819</v>
      </c>
      <c r="AP1182" s="35" t="s">
        <v>396</v>
      </c>
    </row>
    <row r="1183" spans="1:42" x14ac:dyDescent="0.2">
      <c r="A1183" s="40">
        <v>120</v>
      </c>
      <c r="B1183" s="40">
        <v>1182</v>
      </c>
      <c r="C1183" s="40" t="s">
        <v>114</v>
      </c>
      <c r="D1183" s="38" t="s">
        <v>218</v>
      </c>
      <c r="E1183" s="32" t="s">
        <v>2184</v>
      </c>
      <c r="F1183" s="32" t="s">
        <v>131</v>
      </c>
      <c r="G1183" s="38" t="s">
        <v>133</v>
      </c>
      <c r="H1183" s="32" t="s">
        <v>151</v>
      </c>
      <c r="I1183" s="32" t="s">
        <v>120</v>
      </c>
      <c r="J1183" s="32" t="s">
        <v>1808</v>
      </c>
      <c r="K1183" s="32" t="s">
        <v>1513</v>
      </c>
      <c r="L1183" s="32" t="s">
        <v>30</v>
      </c>
      <c r="M1183" s="32" t="s">
        <v>30</v>
      </c>
      <c r="N1183" s="40">
        <v>2010</v>
      </c>
      <c r="O1183" s="32">
        <f>VLOOKUP(Data!N877, CPI!$A$2:$B$112, 2, 0)</f>
        <v>207.3</v>
      </c>
      <c r="P1183" s="32" t="s">
        <v>238</v>
      </c>
      <c r="Q1183" s="32" t="s">
        <v>172</v>
      </c>
      <c r="R1183" s="32" t="s">
        <v>1807</v>
      </c>
      <c r="S1183" s="32">
        <v>21779900000</v>
      </c>
      <c r="T1183" s="32" t="s">
        <v>608</v>
      </c>
      <c r="U1183" s="32">
        <f t="shared" si="71"/>
        <v>10643.204977341951</v>
      </c>
      <c r="V1183" s="32" t="s">
        <v>316</v>
      </c>
      <c r="X1183" s="32">
        <f t="shared" si="73"/>
        <v>10643.204977341951</v>
      </c>
      <c r="Y1183" s="32">
        <f>(CPI!$B$112/O1183)*X1183</f>
        <v>15642.726011000335</v>
      </c>
      <c r="Z1183" s="38" t="s">
        <v>262</v>
      </c>
      <c r="AA1183" s="35" t="s">
        <v>1445</v>
      </c>
      <c r="AB1183" s="32">
        <f>269220000/131.56</f>
        <v>2046366.6768014594</v>
      </c>
      <c r="AC1183" s="32" t="s">
        <v>1464</v>
      </c>
      <c r="AH1183" s="32" t="s">
        <v>411</v>
      </c>
      <c r="AI1183" s="32" t="s">
        <v>1800</v>
      </c>
      <c r="AK1183" s="40" t="s">
        <v>1816</v>
      </c>
      <c r="AL1183" s="32">
        <v>2020</v>
      </c>
      <c r="AM1183" s="32" t="s">
        <v>1817</v>
      </c>
      <c r="AN1183" s="32" t="s">
        <v>1818</v>
      </c>
      <c r="AO1183" s="38" t="s">
        <v>1819</v>
      </c>
      <c r="AP1183" s="35" t="s">
        <v>396</v>
      </c>
    </row>
    <row r="1184" spans="1:42" x14ac:dyDescent="0.2">
      <c r="A1184" s="40">
        <v>120</v>
      </c>
      <c r="B1184" s="40">
        <v>1183</v>
      </c>
      <c r="C1184" s="40" t="s">
        <v>114</v>
      </c>
      <c r="D1184" s="38" t="s">
        <v>218</v>
      </c>
      <c r="E1184" s="32" t="s">
        <v>2184</v>
      </c>
      <c r="F1184" s="32" t="s">
        <v>131</v>
      </c>
      <c r="G1184" s="38" t="s">
        <v>133</v>
      </c>
      <c r="H1184" s="32" t="s">
        <v>151</v>
      </c>
      <c r="I1184" s="32" t="s">
        <v>120</v>
      </c>
      <c r="J1184" s="32" t="s">
        <v>1808</v>
      </c>
      <c r="K1184" s="32" t="s">
        <v>1513</v>
      </c>
      <c r="L1184" s="32" t="s">
        <v>30</v>
      </c>
      <c r="M1184" s="32" t="s">
        <v>30</v>
      </c>
      <c r="N1184" s="40">
        <v>2010</v>
      </c>
      <c r="O1184" s="32">
        <f>VLOOKUP(Data!N878, CPI!$A$2:$B$112, 2, 0)</f>
        <v>207.3</v>
      </c>
      <c r="P1184" s="32" t="s">
        <v>238</v>
      </c>
      <c r="Q1184" s="32" t="s">
        <v>172</v>
      </c>
      <c r="R1184" s="32" t="s">
        <v>1793</v>
      </c>
      <c r="S1184" s="32">
        <v>8412700000</v>
      </c>
      <c r="T1184" s="32" t="s">
        <v>608</v>
      </c>
      <c r="U1184" s="32">
        <f t="shared" si="71"/>
        <v>4111.2078642878478</v>
      </c>
      <c r="V1184" s="32" t="s">
        <v>316</v>
      </c>
      <c r="X1184" s="32">
        <f t="shared" si="73"/>
        <v>4111.2078642878478</v>
      </c>
      <c r="Y1184" s="32">
        <f>(CPI!$B$112/O1184)*X1184</f>
        <v>6042.3996655362407</v>
      </c>
      <c r="Z1184" s="38" t="s">
        <v>262</v>
      </c>
      <c r="AA1184" s="35" t="s">
        <v>1445</v>
      </c>
      <c r="AB1184" s="32">
        <f>267920000/130.93</f>
        <v>2046284.274039563</v>
      </c>
      <c r="AC1184" s="32" t="s">
        <v>1464</v>
      </c>
      <c r="AH1184" s="32" t="s">
        <v>411</v>
      </c>
      <c r="AI1184" s="32" t="s">
        <v>1797</v>
      </c>
      <c r="AK1184" s="40" t="s">
        <v>1816</v>
      </c>
      <c r="AL1184" s="32">
        <v>2020</v>
      </c>
      <c r="AM1184" s="32" t="s">
        <v>1817</v>
      </c>
      <c r="AN1184" s="32" t="s">
        <v>1818</v>
      </c>
      <c r="AO1184" s="38" t="s">
        <v>1819</v>
      </c>
      <c r="AP1184" s="35" t="s">
        <v>396</v>
      </c>
    </row>
    <row r="1185" spans="1:42" x14ac:dyDescent="0.2">
      <c r="A1185" s="40">
        <v>120</v>
      </c>
      <c r="B1185" s="40">
        <v>1184</v>
      </c>
      <c r="C1185" s="40" t="s">
        <v>114</v>
      </c>
      <c r="D1185" s="38" t="s">
        <v>218</v>
      </c>
      <c r="E1185" s="32" t="s">
        <v>2184</v>
      </c>
      <c r="F1185" s="32" t="s">
        <v>131</v>
      </c>
      <c r="G1185" s="38" t="s">
        <v>133</v>
      </c>
      <c r="H1185" s="32" t="s">
        <v>151</v>
      </c>
      <c r="I1185" s="32" t="s">
        <v>120</v>
      </c>
      <c r="J1185" s="32" t="s">
        <v>1808</v>
      </c>
      <c r="K1185" s="32" t="s">
        <v>1513</v>
      </c>
      <c r="L1185" s="32" t="s">
        <v>30</v>
      </c>
      <c r="M1185" s="32" t="s">
        <v>30</v>
      </c>
      <c r="N1185" s="40">
        <v>2010</v>
      </c>
      <c r="O1185" s="32">
        <f>VLOOKUP(Data!N879, CPI!$A$2:$B$112, 2, 0)</f>
        <v>207.3</v>
      </c>
      <c r="P1185" s="32" t="s">
        <v>238</v>
      </c>
      <c r="Q1185" s="32" t="s">
        <v>172</v>
      </c>
      <c r="R1185" s="32" t="s">
        <v>1796</v>
      </c>
      <c r="S1185" s="32">
        <v>8710000000</v>
      </c>
      <c r="T1185" s="32" t="s">
        <v>608</v>
      </c>
      <c r="U1185" s="32">
        <f t="shared" si="71"/>
        <v>4256.24752154007</v>
      </c>
      <c r="V1185" s="32" t="s">
        <v>316</v>
      </c>
      <c r="X1185" s="32">
        <f t="shared" si="73"/>
        <v>4256.24752154007</v>
      </c>
      <c r="Y1185" s="32">
        <f>(CPI!$B$112/O1185)*X1185</f>
        <v>6255.5700051055655</v>
      </c>
      <c r="Z1185" s="38" t="s">
        <v>262</v>
      </c>
      <c r="AA1185" s="35" t="s">
        <v>1445</v>
      </c>
      <c r="AB1185" s="32">
        <f t="shared" ref="AB1185:AB1190" si="74">277390000/135.55</f>
        <v>2046403.5411287346</v>
      </c>
      <c r="AC1185" s="32" t="s">
        <v>1464</v>
      </c>
      <c r="AH1185" s="32" t="s">
        <v>411</v>
      </c>
      <c r="AI1185" s="32" t="s">
        <v>1797</v>
      </c>
      <c r="AK1185" s="40" t="s">
        <v>1816</v>
      </c>
      <c r="AL1185" s="32">
        <v>2020</v>
      </c>
      <c r="AM1185" s="32" t="s">
        <v>1817</v>
      </c>
      <c r="AN1185" s="32" t="s">
        <v>1818</v>
      </c>
      <c r="AO1185" s="38" t="s">
        <v>1819</v>
      </c>
      <c r="AP1185" s="35" t="s">
        <v>396</v>
      </c>
    </row>
    <row r="1186" spans="1:42" x14ac:dyDescent="0.2">
      <c r="A1186" s="40">
        <v>120</v>
      </c>
      <c r="B1186" s="40">
        <v>1185</v>
      </c>
      <c r="C1186" s="40" t="s">
        <v>114</v>
      </c>
      <c r="D1186" s="38" t="s">
        <v>218</v>
      </c>
      <c r="E1186" s="32" t="s">
        <v>2184</v>
      </c>
      <c r="F1186" s="32" t="s">
        <v>131</v>
      </c>
      <c r="G1186" s="38" t="s">
        <v>133</v>
      </c>
      <c r="H1186" s="32" t="s">
        <v>151</v>
      </c>
      <c r="I1186" s="32" t="s">
        <v>120</v>
      </c>
      <c r="J1186" s="32" t="s">
        <v>1808</v>
      </c>
      <c r="K1186" s="32" t="s">
        <v>1513</v>
      </c>
      <c r="L1186" s="32" t="s">
        <v>30</v>
      </c>
      <c r="M1186" s="32" t="s">
        <v>30</v>
      </c>
      <c r="N1186" s="40">
        <v>2010</v>
      </c>
      <c r="O1186" s="32">
        <f>VLOOKUP(Data!N880, CPI!$A$2:$B$112, 2, 0)</f>
        <v>207.3</v>
      </c>
      <c r="P1186" s="32" t="s">
        <v>238</v>
      </c>
      <c r="Q1186" s="32" t="s">
        <v>172</v>
      </c>
      <c r="R1186" s="32" t="s">
        <v>1801</v>
      </c>
      <c r="S1186" s="32">
        <v>13869500000</v>
      </c>
      <c r="T1186" s="32" t="s">
        <v>608</v>
      </c>
      <c r="U1186" s="32">
        <f t="shared" si="71"/>
        <v>6777.5000000000009</v>
      </c>
      <c r="V1186" s="32" t="s">
        <v>316</v>
      </c>
      <c r="X1186" s="32">
        <f t="shared" si="73"/>
        <v>6777.5000000000009</v>
      </c>
      <c r="Y1186" s="32">
        <f>(CPI!$B$112/O1186)*X1186</f>
        <v>9961.1513416546095</v>
      </c>
      <c r="Z1186" s="38" t="s">
        <v>262</v>
      </c>
      <c r="AA1186" s="35" t="s">
        <v>1445</v>
      </c>
      <c r="AB1186" s="32">
        <f t="shared" si="74"/>
        <v>2046403.5411287346</v>
      </c>
      <c r="AC1186" s="32" t="s">
        <v>1464</v>
      </c>
      <c r="AH1186" s="32" t="s">
        <v>411</v>
      </c>
      <c r="AI1186" s="32" t="s">
        <v>1797</v>
      </c>
      <c r="AK1186" s="40" t="s">
        <v>1816</v>
      </c>
      <c r="AL1186" s="32">
        <v>2020</v>
      </c>
      <c r="AM1186" s="32" t="s">
        <v>1817</v>
      </c>
      <c r="AN1186" s="32" t="s">
        <v>1818</v>
      </c>
      <c r="AO1186" s="38" t="s">
        <v>1819</v>
      </c>
      <c r="AP1186" s="35" t="s">
        <v>396</v>
      </c>
    </row>
    <row r="1187" spans="1:42" x14ac:dyDescent="0.2">
      <c r="A1187" s="40">
        <v>120</v>
      </c>
      <c r="B1187" s="40">
        <v>1186</v>
      </c>
      <c r="C1187" s="40" t="s">
        <v>114</v>
      </c>
      <c r="D1187" s="38" t="s">
        <v>218</v>
      </c>
      <c r="E1187" s="32" t="s">
        <v>2184</v>
      </c>
      <c r="F1187" s="32" t="s">
        <v>131</v>
      </c>
      <c r="G1187" s="38" t="s">
        <v>133</v>
      </c>
      <c r="H1187" s="32" t="s">
        <v>151</v>
      </c>
      <c r="I1187" s="32" t="s">
        <v>120</v>
      </c>
      <c r="J1187" s="32" t="s">
        <v>1808</v>
      </c>
      <c r="K1187" s="32" t="s">
        <v>1513</v>
      </c>
      <c r="L1187" s="32" t="s">
        <v>30</v>
      </c>
      <c r="M1187" s="32" t="s">
        <v>30</v>
      </c>
      <c r="N1187" s="40">
        <v>2010</v>
      </c>
      <c r="O1187" s="32">
        <f>VLOOKUP(Data!N881, CPI!$A$2:$B$112, 2, 0)</f>
        <v>245.12</v>
      </c>
      <c r="P1187" s="32" t="s">
        <v>238</v>
      </c>
      <c r="Q1187" s="32" t="s">
        <v>172</v>
      </c>
      <c r="R1187" s="32" t="s">
        <v>1802</v>
      </c>
      <c r="S1187" s="32">
        <v>22440900000</v>
      </c>
      <c r="T1187" s="32" t="s">
        <v>608</v>
      </c>
      <c r="U1187" s="32">
        <f t="shared" si="71"/>
        <v>10966.018944446449</v>
      </c>
      <c r="V1187" s="32" t="s">
        <v>316</v>
      </c>
      <c r="X1187" s="32">
        <f t="shared" si="73"/>
        <v>10966.018944446449</v>
      </c>
      <c r="Y1187" s="32">
        <f>(CPI!$B$112/O1187)*X1187</f>
        <v>13630.430044192128</v>
      </c>
      <c r="Z1187" s="38" t="s">
        <v>262</v>
      </c>
      <c r="AA1187" s="35" t="s">
        <v>1445</v>
      </c>
      <c r="AB1187" s="32">
        <f t="shared" si="74"/>
        <v>2046403.5411287346</v>
      </c>
      <c r="AC1187" s="32" t="s">
        <v>1464</v>
      </c>
      <c r="AH1187" s="32" t="s">
        <v>411</v>
      </c>
      <c r="AI1187" s="32" t="s">
        <v>1797</v>
      </c>
      <c r="AK1187" s="40" t="s">
        <v>1816</v>
      </c>
      <c r="AL1187" s="32">
        <v>2020</v>
      </c>
      <c r="AM1187" s="32" t="s">
        <v>1817</v>
      </c>
      <c r="AN1187" s="32" t="s">
        <v>1818</v>
      </c>
      <c r="AO1187" s="38" t="s">
        <v>1819</v>
      </c>
      <c r="AP1187" s="35" t="s">
        <v>396</v>
      </c>
    </row>
    <row r="1188" spans="1:42" x14ac:dyDescent="0.2">
      <c r="A1188" s="40">
        <v>120</v>
      </c>
      <c r="B1188" s="40">
        <v>1187</v>
      </c>
      <c r="C1188" s="40" t="s">
        <v>114</v>
      </c>
      <c r="D1188" s="38" t="s">
        <v>218</v>
      </c>
      <c r="E1188" s="32" t="s">
        <v>2184</v>
      </c>
      <c r="F1188" s="32" t="s">
        <v>131</v>
      </c>
      <c r="G1188" s="38" t="s">
        <v>133</v>
      </c>
      <c r="H1188" s="32" t="s">
        <v>151</v>
      </c>
      <c r="I1188" s="32" t="s">
        <v>120</v>
      </c>
      <c r="J1188" s="32" t="s">
        <v>1808</v>
      </c>
      <c r="K1188" s="32" t="s">
        <v>1513</v>
      </c>
      <c r="L1188" s="32" t="s">
        <v>30</v>
      </c>
      <c r="M1188" s="32" t="s">
        <v>30</v>
      </c>
      <c r="N1188" s="40">
        <v>2010</v>
      </c>
      <c r="O1188" s="32">
        <f>VLOOKUP(Data!N882, CPI!$A$2:$B$112, 2, 0)</f>
        <v>245.12</v>
      </c>
      <c r="P1188" s="32" t="s">
        <v>238</v>
      </c>
      <c r="Q1188" s="32" t="s">
        <v>172</v>
      </c>
      <c r="R1188" s="32" t="s">
        <v>2639</v>
      </c>
      <c r="S1188" s="32">
        <v>297400000</v>
      </c>
      <c r="T1188" s="32" t="s">
        <v>608</v>
      </c>
      <c r="U1188" s="32">
        <f t="shared" ref="U1188:U1196" si="75">S1188/10/AB1188</f>
        <v>14.532813006957713</v>
      </c>
      <c r="V1188" s="32" t="s">
        <v>316</v>
      </c>
      <c r="X1188" s="32">
        <f t="shared" si="73"/>
        <v>14.532813006957713</v>
      </c>
      <c r="Y1188" s="32">
        <f>(CPI!$B$112/O1188)*X1188</f>
        <v>18.063847239383172</v>
      </c>
      <c r="Z1188" s="38" t="s">
        <v>262</v>
      </c>
      <c r="AA1188" s="35" t="s">
        <v>1445</v>
      </c>
      <c r="AB1188" s="32">
        <f t="shared" si="74"/>
        <v>2046403.5411287346</v>
      </c>
      <c r="AC1188" s="32" t="s">
        <v>1464</v>
      </c>
      <c r="AH1188" s="32" t="s">
        <v>411</v>
      </c>
      <c r="AJ1188" s="35" t="s">
        <v>2648</v>
      </c>
      <c r="AK1188" s="40" t="s">
        <v>1816</v>
      </c>
      <c r="AL1188" s="32">
        <v>2020</v>
      </c>
      <c r="AM1188" s="32" t="s">
        <v>1817</v>
      </c>
      <c r="AN1188" s="32" t="s">
        <v>1818</v>
      </c>
      <c r="AO1188" s="38" t="s">
        <v>1819</v>
      </c>
      <c r="AP1188" s="35" t="s">
        <v>396</v>
      </c>
    </row>
    <row r="1189" spans="1:42" x14ac:dyDescent="0.2">
      <c r="A1189" s="40">
        <v>120</v>
      </c>
      <c r="B1189" s="40">
        <v>1188</v>
      </c>
      <c r="C1189" s="40" t="s">
        <v>114</v>
      </c>
      <c r="D1189" s="38" t="s">
        <v>218</v>
      </c>
      <c r="E1189" s="32" t="s">
        <v>2184</v>
      </c>
      <c r="F1189" s="32" t="s">
        <v>131</v>
      </c>
      <c r="G1189" s="38" t="s">
        <v>133</v>
      </c>
      <c r="H1189" s="32" t="s">
        <v>151</v>
      </c>
      <c r="I1189" s="32" t="s">
        <v>120</v>
      </c>
      <c r="J1189" s="32" t="s">
        <v>1808</v>
      </c>
      <c r="K1189" s="32" t="s">
        <v>1513</v>
      </c>
      <c r="L1189" s="32" t="s">
        <v>30</v>
      </c>
      <c r="M1189" s="32" t="s">
        <v>30</v>
      </c>
      <c r="N1189" s="40">
        <v>2010</v>
      </c>
      <c r="O1189" s="32">
        <f>VLOOKUP(Data!N883, CPI!$A$2:$B$112, 2, 0)</f>
        <v>245.12</v>
      </c>
      <c r="P1189" s="32" t="s">
        <v>238</v>
      </c>
      <c r="Q1189" s="32" t="s">
        <v>172</v>
      </c>
      <c r="R1189" s="32" t="s">
        <v>2640</v>
      </c>
      <c r="S1189" s="32">
        <v>473500000</v>
      </c>
      <c r="T1189" s="32" t="s">
        <v>608</v>
      </c>
      <c r="U1189" s="32">
        <f t="shared" si="75"/>
        <v>23.138153862792461</v>
      </c>
      <c r="V1189" s="32" t="s">
        <v>316</v>
      </c>
      <c r="X1189" s="32">
        <f t="shared" si="73"/>
        <v>23.138153862792461</v>
      </c>
      <c r="Y1189" s="32">
        <f>(CPI!$B$112/O1189)*X1189</f>
        <v>28.760025782945302</v>
      </c>
      <c r="Z1189" s="38" t="s">
        <v>262</v>
      </c>
      <c r="AA1189" s="35" t="s">
        <v>1445</v>
      </c>
      <c r="AB1189" s="32">
        <f t="shared" si="74"/>
        <v>2046403.5411287346</v>
      </c>
      <c r="AC1189" s="32" t="s">
        <v>1464</v>
      </c>
      <c r="AH1189" s="32" t="s">
        <v>411</v>
      </c>
      <c r="AJ1189" s="35" t="s">
        <v>2648</v>
      </c>
      <c r="AK1189" s="40" t="s">
        <v>1816</v>
      </c>
      <c r="AL1189" s="32">
        <v>2020</v>
      </c>
      <c r="AM1189" s="32" t="s">
        <v>1817</v>
      </c>
      <c r="AN1189" s="32" t="s">
        <v>1818</v>
      </c>
      <c r="AO1189" s="38" t="s">
        <v>1819</v>
      </c>
      <c r="AP1189" s="35" t="s">
        <v>396</v>
      </c>
    </row>
    <row r="1190" spans="1:42" x14ac:dyDescent="0.2">
      <c r="A1190" s="40">
        <v>120</v>
      </c>
      <c r="B1190" s="40">
        <v>1189</v>
      </c>
      <c r="C1190" s="40" t="s">
        <v>114</v>
      </c>
      <c r="D1190" s="38" t="s">
        <v>218</v>
      </c>
      <c r="E1190" s="32" t="s">
        <v>2184</v>
      </c>
      <c r="F1190" s="32" t="s">
        <v>131</v>
      </c>
      <c r="G1190" s="38" t="s">
        <v>133</v>
      </c>
      <c r="H1190" s="32" t="s">
        <v>151</v>
      </c>
      <c r="I1190" s="32" t="s">
        <v>120</v>
      </c>
      <c r="J1190" s="32" t="s">
        <v>1808</v>
      </c>
      <c r="K1190" s="32" t="s">
        <v>1513</v>
      </c>
      <c r="L1190" s="32" t="s">
        <v>30</v>
      </c>
      <c r="M1190" s="32" t="s">
        <v>30</v>
      </c>
      <c r="N1190" s="40">
        <v>2010</v>
      </c>
      <c r="O1190" s="32">
        <f>VLOOKUP(Data!N884, CPI!$A$2:$B$112, 2, 0)</f>
        <v>245.12</v>
      </c>
      <c r="P1190" s="32" t="s">
        <v>238</v>
      </c>
      <c r="Q1190" s="32" t="s">
        <v>172</v>
      </c>
      <c r="R1190" s="32" t="s">
        <v>2641</v>
      </c>
      <c r="S1190" s="32">
        <v>766100000</v>
      </c>
      <c r="T1190" s="32" t="s">
        <v>608</v>
      </c>
      <c r="U1190" s="32">
        <f t="shared" si="75"/>
        <v>37.436409027001694</v>
      </c>
      <c r="V1190" s="32" t="s">
        <v>316</v>
      </c>
      <c r="X1190" s="32">
        <f t="shared" si="73"/>
        <v>37.436409027001694</v>
      </c>
      <c r="Y1190" s="32">
        <f>(CPI!$B$112/O1190)*X1190</f>
        <v>46.532324714497136</v>
      </c>
      <c r="Z1190" s="38" t="s">
        <v>262</v>
      </c>
      <c r="AA1190" s="35" t="s">
        <v>1445</v>
      </c>
      <c r="AB1190" s="32">
        <f t="shared" si="74"/>
        <v>2046403.5411287346</v>
      </c>
      <c r="AC1190" s="32" t="s">
        <v>1464</v>
      </c>
      <c r="AH1190" s="32" t="s">
        <v>411</v>
      </c>
      <c r="AJ1190" s="35" t="s">
        <v>2648</v>
      </c>
      <c r="AK1190" s="40" t="s">
        <v>1816</v>
      </c>
      <c r="AL1190" s="32">
        <v>2020</v>
      </c>
      <c r="AM1190" s="32" t="s">
        <v>1817</v>
      </c>
      <c r="AN1190" s="32" t="s">
        <v>1818</v>
      </c>
      <c r="AO1190" s="38" t="s">
        <v>1819</v>
      </c>
      <c r="AP1190" s="35" t="s">
        <v>396</v>
      </c>
    </row>
    <row r="1191" spans="1:42" x14ac:dyDescent="0.2">
      <c r="A1191" s="40">
        <v>120</v>
      </c>
      <c r="B1191" s="40">
        <v>1190</v>
      </c>
      <c r="C1191" s="40" t="s">
        <v>114</v>
      </c>
      <c r="D1191" s="38" t="s">
        <v>218</v>
      </c>
      <c r="E1191" s="32" t="s">
        <v>2184</v>
      </c>
      <c r="F1191" s="32" t="s">
        <v>131</v>
      </c>
      <c r="G1191" s="38" t="s">
        <v>133</v>
      </c>
      <c r="H1191" s="32" t="s">
        <v>151</v>
      </c>
      <c r="I1191" s="32" t="s">
        <v>120</v>
      </c>
      <c r="J1191" s="32" t="s">
        <v>1808</v>
      </c>
      <c r="K1191" s="32" t="s">
        <v>1513</v>
      </c>
      <c r="L1191" s="32" t="s">
        <v>30</v>
      </c>
      <c r="M1191" s="32" t="s">
        <v>30</v>
      </c>
      <c r="N1191" s="40">
        <v>2010</v>
      </c>
      <c r="O1191" s="32">
        <f>VLOOKUP(Data!N885, CPI!$A$2:$B$112, 2, 0)</f>
        <v>232.95699999999999</v>
      </c>
      <c r="P1191" s="32" t="s">
        <v>238</v>
      </c>
      <c r="Q1191" s="32" t="s">
        <v>172</v>
      </c>
      <c r="R1191" s="32" t="s">
        <v>2642</v>
      </c>
      <c r="S1191" s="32">
        <v>271000000</v>
      </c>
      <c r="T1191" s="32" t="s">
        <v>608</v>
      </c>
      <c r="U1191" s="32">
        <f t="shared" si="75"/>
        <v>13.239851744711627</v>
      </c>
      <c r="V1191" s="32" t="s">
        <v>316</v>
      </c>
      <c r="X1191" s="32">
        <f t="shared" si="73"/>
        <v>13.239851744711627</v>
      </c>
      <c r="Y1191" s="32">
        <f>(CPI!$B$112/O1191)*X1191</f>
        <v>17.315963890591693</v>
      </c>
      <c r="Z1191" s="38" t="s">
        <v>262</v>
      </c>
      <c r="AA1191" s="35" t="s">
        <v>1445</v>
      </c>
      <c r="AB1191" s="32">
        <f>276550000/135.11</f>
        <v>2046850.7142328471</v>
      </c>
      <c r="AC1191" s="32" t="s">
        <v>1464</v>
      </c>
      <c r="AH1191" s="32" t="s">
        <v>411</v>
      </c>
      <c r="AJ1191" s="35" t="s">
        <v>2648</v>
      </c>
      <c r="AK1191" s="40" t="s">
        <v>1816</v>
      </c>
      <c r="AL1191" s="32">
        <v>2020</v>
      </c>
      <c r="AM1191" s="32" t="s">
        <v>1817</v>
      </c>
      <c r="AN1191" s="32" t="s">
        <v>1818</v>
      </c>
      <c r="AO1191" s="38" t="s">
        <v>1819</v>
      </c>
      <c r="AP1191" s="35" t="s">
        <v>396</v>
      </c>
    </row>
    <row r="1192" spans="1:42" x14ac:dyDescent="0.2">
      <c r="A1192" s="40">
        <v>120</v>
      </c>
      <c r="B1192" s="40">
        <v>1191</v>
      </c>
      <c r="C1192" s="40" t="s">
        <v>114</v>
      </c>
      <c r="D1192" s="38" t="s">
        <v>218</v>
      </c>
      <c r="E1192" s="32" t="s">
        <v>2184</v>
      </c>
      <c r="F1192" s="32" t="s">
        <v>131</v>
      </c>
      <c r="G1192" s="38" t="s">
        <v>133</v>
      </c>
      <c r="H1192" s="32" t="s">
        <v>151</v>
      </c>
      <c r="I1192" s="32" t="s">
        <v>120</v>
      </c>
      <c r="J1192" s="32" t="s">
        <v>1808</v>
      </c>
      <c r="K1192" s="32" t="s">
        <v>1513</v>
      </c>
      <c r="L1192" s="32" t="s">
        <v>30</v>
      </c>
      <c r="M1192" s="32" t="s">
        <v>30</v>
      </c>
      <c r="N1192" s="40">
        <v>2010</v>
      </c>
      <c r="O1192" s="32">
        <f>VLOOKUP(Data!N886, CPI!$A$2:$B$112, 2, 0)</f>
        <v>232.95699999999999</v>
      </c>
      <c r="P1192" s="32" t="s">
        <v>238</v>
      </c>
      <c r="Q1192" s="32" t="s">
        <v>172</v>
      </c>
      <c r="R1192" s="32" t="s">
        <v>2643</v>
      </c>
      <c r="S1192" s="32">
        <v>431500000</v>
      </c>
      <c r="T1192" s="32" t="s">
        <v>608</v>
      </c>
      <c r="U1192" s="32">
        <f t="shared" si="75"/>
        <v>21.08116615440246</v>
      </c>
      <c r="V1192" s="32" t="s">
        <v>316</v>
      </c>
      <c r="X1192" s="32">
        <f t="shared" si="73"/>
        <v>21.08116615440246</v>
      </c>
      <c r="Y1192" s="32">
        <f>(CPI!$B$112/O1192)*X1192</f>
        <v>27.571359478931047</v>
      </c>
      <c r="Z1192" s="38" t="s">
        <v>262</v>
      </c>
      <c r="AA1192" s="35" t="s">
        <v>1445</v>
      </c>
      <c r="AB1192" s="32">
        <f>276550000/135.11</f>
        <v>2046850.7142328471</v>
      </c>
      <c r="AC1192" s="32" t="s">
        <v>1464</v>
      </c>
      <c r="AH1192" s="32" t="s">
        <v>411</v>
      </c>
      <c r="AJ1192" s="35" t="s">
        <v>2648</v>
      </c>
      <c r="AK1192" s="40" t="s">
        <v>1816</v>
      </c>
      <c r="AL1192" s="32">
        <v>2020</v>
      </c>
      <c r="AM1192" s="32" t="s">
        <v>1817</v>
      </c>
      <c r="AN1192" s="32" t="s">
        <v>1818</v>
      </c>
      <c r="AO1192" s="38" t="s">
        <v>1819</v>
      </c>
      <c r="AP1192" s="35" t="s">
        <v>396</v>
      </c>
    </row>
    <row r="1193" spans="1:42" x14ac:dyDescent="0.2">
      <c r="A1193" s="40">
        <v>120</v>
      </c>
      <c r="B1193" s="40">
        <v>1192</v>
      </c>
      <c r="C1193" s="40" t="s">
        <v>114</v>
      </c>
      <c r="D1193" s="38" t="s">
        <v>218</v>
      </c>
      <c r="E1193" s="32" t="s">
        <v>2184</v>
      </c>
      <c r="F1193" s="32" t="s">
        <v>131</v>
      </c>
      <c r="G1193" s="38" t="s">
        <v>133</v>
      </c>
      <c r="H1193" s="32" t="s">
        <v>151</v>
      </c>
      <c r="I1193" s="32" t="s">
        <v>120</v>
      </c>
      <c r="J1193" s="32" t="s">
        <v>1808</v>
      </c>
      <c r="K1193" s="32" t="s">
        <v>1513</v>
      </c>
      <c r="L1193" s="32" t="s">
        <v>30</v>
      </c>
      <c r="M1193" s="32" t="s">
        <v>30</v>
      </c>
      <c r="N1193" s="40">
        <v>2010</v>
      </c>
      <c r="O1193" s="32">
        <f>VLOOKUP(Data!N887, CPI!$A$2:$B$112, 2, 0)</f>
        <v>232.95699999999999</v>
      </c>
      <c r="P1193" s="32" t="s">
        <v>238</v>
      </c>
      <c r="Q1193" s="32" t="s">
        <v>172</v>
      </c>
      <c r="R1193" s="32" t="s">
        <v>2644</v>
      </c>
      <c r="S1193" s="32">
        <v>698200000</v>
      </c>
      <c r="T1193" s="32" t="s">
        <v>608</v>
      </c>
      <c r="U1193" s="32">
        <f t="shared" si="75"/>
        <v>34.110939070692467</v>
      </c>
      <c r="V1193" s="32" t="s">
        <v>316</v>
      </c>
      <c r="X1193" s="32">
        <f t="shared" si="73"/>
        <v>34.110939070692467</v>
      </c>
      <c r="Y1193" s="32">
        <f>(CPI!$B$112/O1193)*X1193</f>
        <v>44.612568222919258</v>
      </c>
      <c r="Z1193" s="38" t="s">
        <v>262</v>
      </c>
      <c r="AA1193" s="35" t="s">
        <v>1445</v>
      </c>
      <c r="AB1193" s="32">
        <f>276550000/135.11</f>
        <v>2046850.7142328471</v>
      </c>
      <c r="AC1193" s="32" t="s">
        <v>1464</v>
      </c>
      <c r="AH1193" s="32" t="s">
        <v>411</v>
      </c>
      <c r="AJ1193" s="35" t="s">
        <v>2648</v>
      </c>
      <c r="AK1193" s="40" t="s">
        <v>1816</v>
      </c>
      <c r="AL1193" s="32">
        <v>2020</v>
      </c>
      <c r="AM1193" s="32" t="s">
        <v>1817</v>
      </c>
      <c r="AN1193" s="32" t="s">
        <v>1818</v>
      </c>
      <c r="AO1193" s="38" t="s">
        <v>1819</v>
      </c>
      <c r="AP1193" s="35" t="s">
        <v>396</v>
      </c>
    </row>
    <row r="1194" spans="1:42" x14ac:dyDescent="0.2">
      <c r="A1194" s="40">
        <v>120</v>
      </c>
      <c r="B1194" s="40">
        <v>1193</v>
      </c>
      <c r="C1194" s="40" t="s">
        <v>114</v>
      </c>
      <c r="D1194" s="38" t="s">
        <v>218</v>
      </c>
      <c r="E1194" s="32" t="s">
        <v>2184</v>
      </c>
      <c r="F1194" s="32" t="s">
        <v>131</v>
      </c>
      <c r="G1194" s="38" t="s">
        <v>133</v>
      </c>
      <c r="H1194" s="32" t="s">
        <v>151</v>
      </c>
      <c r="I1194" s="32" t="s">
        <v>120</v>
      </c>
      <c r="J1194" s="32" t="s">
        <v>1808</v>
      </c>
      <c r="K1194" s="32" t="s">
        <v>1513</v>
      </c>
      <c r="L1194" s="32" t="s">
        <v>30</v>
      </c>
      <c r="M1194" s="32" t="s">
        <v>30</v>
      </c>
      <c r="N1194" s="40">
        <v>2010</v>
      </c>
      <c r="O1194" s="32">
        <f>VLOOKUP(Data!N888, CPI!$A$2:$B$112, 2, 0)</f>
        <v>232.95699999999999</v>
      </c>
      <c r="P1194" s="32" t="s">
        <v>238</v>
      </c>
      <c r="Q1194" s="32" t="s">
        <v>172</v>
      </c>
      <c r="R1194" s="32" t="s">
        <v>2645</v>
      </c>
      <c r="S1194" s="32">
        <v>40800000</v>
      </c>
      <c r="T1194" s="32" t="s">
        <v>608</v>
      </c>
      <c r="U1194" s="32">
        <f t="shared" si="75"/>
        <v>1.9937775796746156</v>
      </c>
      <c r="V1194" s="32" t="s">
        <v>316</v>
      </c>
      <c r="X1194" s="32">
        <f t="shared" si="73"/>
        <v>1.9937775796746156</v>
      </c>
      <c r="Y1194" s="32">
        <f>(CPI!$B$112/O1194)*X1194</f>
        <v>2.607595707354267</v>
      </c>
      <c r="Z1194" s="38" t="s">
        <v>262</v>
      </c>
      <c r="AA1194" s="35" t="s">
        <v>1445</v>
      </c>
      <c r="AB1194" s="32">
        <f>269220000/131.56</f>
        <v>2046366.6768014594</v>
      </c>
      <c r="AC1194" s="32" t="s">
        <v>1464</v>
      </c>
      <c r="AH1194" s="32" t="s">
        <v>411</v>
      </c>
      <c r="AJ1194" s="35" t="s">
        <v>2648</v>
      </c>
      <c r="AK1194" s="40" t="s">
        <v>1816</v>
      </c>
      <c r="AL1194" s="32">
        <v>2020</v>
      </c>
      <c r="AM1194" s="32" t="s">
        <v>1817</v>
      </c>
      <c r="AN1194" s="32" t="s">
        <v>1818</v>
      </c>
      <c r="AO1194" s="38" t="s">
        <v>1819</v>
      </c>
      <c r="AP1194" s="35" t="s">
        <v>396</v>
      </c>
    </row>
    <row r="1195" spans="1:42" x14ac:dyDescent="0.2">
      <c r="A1195" s="40">
        <v>120</v>
      </c>
      <c r="B1195" s="40">
        <v>1194</v>
      </c>
      <c r="C1195" s="40" t="s">
        <v>114</v>
      </c>
      <c r="D1195" s="38" t="s">
        <v>218</v>
      </c>
      <c r="E1195" s="32" t="s">
        <v>2184</v>
      </c>
      <c r="F1195" s="32" t="s">
        <v>131</v>
      </c>
      <c r="G1195" s="38" t="s">
        <v>133</v>
      </c>
      <c r="H1195" s="32" t="s">
        <v>151</v>
      </c>
      <c r="I1195" s="32" t="s">
        <v>120</v>
      </c>
      <c r="J1195" s="32" t="s">
        <v>1808</v>
      </c>
      <c r="K1195" s="32" t="s">
        <v>1513</v>
      </c>
      <c r="L1195" s="32" t="s">
        <v>30</v>
      </c>
      <c r="M1195" s="32" t="s">
        <v>30</v>
      </c>
      <c r="N1195" s="40">
        <v>2010</v>
      </c>
      <c r="O1195" s="32">
        <f>VLOOKUP(Data!N889, CPI!$A$2:$B$112, 2, 0)</f>
        <v>232.95699999999999</v>
      </c>
      <c r="P1195" s="32" t="s">
        <v>238</v>
      </c>
      <c r="Q1195" s="32" t="s">
        <v>172</v>
      </c>
      <c r="R1195" s="32" t="s">
        <v>2646</v>
      </c>
      <c r="S1195" s="32">
        <v>65000000</v>
      </c>
      <c r="T1195" s="32" t="s">
        <v>608</v>
      </c>
      <c r="U1195" s="32">
        <f t="shared" si="75"/>
        <v>3.1763613401678925</v>
      </c>
      <c r="V1195" s="32" t="s">
        <v>316</v>
      </c>
      <c r="X1195" s="32">
        <f t="shared" si="73"/>
        <v>3.1763613401678925</v>
      </c>
      <c r="Y1195" s="32">
        <f>(CPI!$B$112/O1195)*X1195</f>
        <v>4.1542578671085133</v>
      </c>
      <c r="Z1195" s="38" t="s">
        <v>262</v>
      </c>
      <c r="AA1195" s="35" t="s">
        <v>1445</v>
      </c>
      <c r="AB1195" s="32">
        <f>269220000/131.56</f>
        <v>2046366.6768014594</v>
      </c>
      <c r="AC1195" s="32" t="s">
        <v>1464</v>
      </c>
      <c r="AH1195" s="32" t="s">
        <v>411</v>
      </c>
      <c r="AJ1195" s="35" t="s">
        <v>2648</v>
      </c>
      <c r="AK1195" s="40" t="s">
        <v>1816</v>
      </c>
      <c r="AL1195" s="32">
        <v>2020</v>
      </c>
      <c r="AM1195" s="32" t="s">
        <v>1817</v>
      </c>
      <c r="AN1195" s="32" t="s">
        <v>1818</v>
      </c>
      <c r="AO1195" s="38" t="s">
        <v>1819</v>
      </c>
      <c r="AP1195" s="35" t="s">
        <v>396</v>
      </c>
    </row>
    <row r="1196" spans="1:42" x14ac:dyDescent="0.2">
      <c r="A1196" s="40">
        <v>120</v>
      </c>
      <c r="B1196" s="40">
        <v>1195</v>
      </c>
      <c r="C1196" s="40" t="s">
        <v>114</v>
      </c>
      <c r="D1196" s="38" t="s">
        <v>218</v>
      </c>
      <c r="E1196" s="32" t="s">
        <v>2184</v>
      </c>
      <c r="F1196" s="32" t="s">
        <v>131</v>
      </c>
      <c r="G1196" s="38" t="s">
        <v>133</v>
      </c>
      <c r="H1196" s="32" t="s">
        <v>151</v>
      </c>
      <c r="I1196" s="32" t="s">
        <v>120</v>
      </c>
      <c r="J1196" s="32" t="s">
        <v>1808</v>
      </c>
      <c r="K1196" s="32" t="s">
        <v>1513</v>
      </c>
      <c r="L1196" s="32" t="s">
        <v>30</v>
      </c>
      <c r="M1196" s="32" t="s">
        <v>30</v>
      </c>
      <c r="N1196" s="40">
        <v>2010</v>
      </c>
      <c r="O1196" s="32">
        <f>VLOOKUP(Data!N890, CPI!$A$2:$B$112, 2, 0)</f>
        <v>232.95699999999999</v>
      </c>
      <c r="P1196" s="32" t="s">
        <v>238</v>
      </c>
      <c r="Q1196" s="32" t="s">
        <v>172</v>
      </c>
      <c r="R1196" s="32" t="s">
        <v>2647</v>
      </c>
      <c r="S1196" s="32">
        <v>105200000</v>
      </c>
      <c r="T1196" s="32" t="s">
        <v>608</v>
      </c>
      <c r="U1196" s="32">
        <f t="shared" si="75"/>
        <v>5.1408186613178817</v>
      </c>
      <c r="V1196" s="32" t="s">
        <v>316</v>
      </c>
      <c r="X1196" s="32">
        <f t="shared" si="73"/>
        <v>5.1408186613178817</v>
      </c>
      <c r="Y1196" s="32">
        <f>(CPI!$B$112/O1196)*X1196</f>
        <v>6.7235065787663943</v>
      </c>
      <c r="Z1196" s="38" t="s">
        <v>262</v>
      </c>
      <c r="AA1196" s="35" t="s">
        <v>1445</v>
      </c>
      <c r="AB1196" s="32">
        <f>269220000/131.56</f>
        <v>2046366.6768014594</v>
      </c>
      <c r="AC1196" s="32" t="s">
        <v>1464</v>
      </c>
      <c r="AH1196" s="32" t="s">
        <v>411</v>
      </c>
      <c r="AJ1196" s="35" t="s">
        <v>2648</v>
      </c>
      <c r="AK1196" s="40" t="s">
        <v>1816</v>
      </c>
      <c r="AL1196" s="32">
        <v>2020</v>
      </c>
      <c r="AM1196" s="32" t="s">
        <v>1817</v>
      </c>
      <c r="AN1196" s="32" t="s">
        <v>1818</v>
      </c>
      <c r="AO1196" s="38" t="s">
        <v>1819</v>
      </c>
      <c r="AP1196" s="35" t="s">
        <v>396</v>
      </c>
    </row>
    <row r="1197" spans="1:42" x14ac:dyDescent="0.2">
      <c r="A1197" s="40">
        <v>120</v>
      </c>
      <c r="B1197" s="40">
        <v>1196</v>
      </c>
      <c r="C1197" s="40" t="s">
        <v>114</v>
      </c>
      <c r="D1197" s="38" t="s">
        <v>218</v>
      </c>
      <c r="E1197" s="32" t="s">
        <v>2183</v>
      </c>
      <c r="F1197" s="32" t="s">
        <v>244</v>
      </c>
      <c r="G1197" s="38" t="s">
        <v>2908</v>
      </c>
      <c r="H1197" s="32" t="s">
        <v>151</v>
      </c>
      <c r="I1197" s="32" t="s">
        <v>120</v>
      </c>
      <c r="J1197" s="32" t="s">
        <v>1814</v>
      </c>
      <c r="K1197" s="32" t="s">
        <v>1513</v>
      </c>
      <c r="L1197" s="32" t="s">
        <v>30</v>
      </c>
      <c r="M1197" s="32" t="s">
        <v>30</v>
      </c>
      <c r="N1197" s="40">
        <v>2010</v>
      </c>
      <c r="O1197" s="32">
        <f>VLOOKUP(Data!N891, CPI!$A$2:$B$112, 2, 0)</f>
        <v>232.95699999999999</v>
      </c>
      <c r="P1197" s="32" t="s">
        <v>238</v>
      </c>
      <c r="Q1197" s="32" t="s">
        <v>239</v>
      </c>
      <c r="R1197" s="32" t="s">
        <v>2649</v>
      </c>
      <c r="S1197" s="32">
        <v>12000000</v>
      </c>
      <c r="T1197" s="32" t="s">
        <v>300</v>
      </c>
      <c r="U1197" s="32">
        <f t="shared" ref="U1197:U1211" si="76">S1197/AB1197</f>
        <v>80.751977934238212</v>
      </c>
      <c r="V1197" s="32" t="s">
        <v>316</v>
      </c>
      <c r="X1197" s="32">
        <f t="shared" si="73"/>
        <v>80.751977934238212</v>
      </c>
      <c r="Y1197" s="32">
        <f>(CPI!$B$112/O1197)*X1197</f>
        <v>105.61283924962724</v>
      </c>
      <c r="Z1197" s="38" t="s">
        <v>262</v>
      </c>
      <c r="AA1197" s="35" t="s">
        <v>1446</v>
      </c>
      <c r="AB1197" s="32">
        <f>1377700000/9271</f>
        <v>148603.17117894511</v>
      </c>
      <c r="AC1197" s="32" t="s">
        <v>2661</v>
      </c>
      <c r="AH1197" s="32" t="s">
        <v>411</v>
      </c>
      <c r="AJ1197" s="35" t="s">
        <v>2278</v>
      </c>
      <c r="AK1197" s="40" t="s">
        <v>1816</v>
      </c>
      <c r="AL1197" s="32">
        <v>2020</v>
      </c>
      <c r="AM1197" s="32" t="s">
        <v>1817</v>
      </c>
      <c r="AN1197" s="32" t="s">
        <v>1818</v>
      </c>
      <c r="AO1197" s="38" t="s">
        <v>1820</v>
      </c>
      <c r="AP1197" s="35" t="s">
        <v>396</v>
      </c>
    </row>
    <row r="1198" spans="1:42" x14ac:dyDescent="0.2">
      <c r="A1198" s="40">
        <v>120</v>
      </c>
      <c r="B1198" s="40">
        <v>1197</v>
      </c>
      <c r="C1198" s="40" t="s">
        <v>114</v>
      </c>
      <c r="D1198" s="38" t="s">
        <v>218</v>
      </c>
      <c r="E1198" s="32" t="s">
        <v>2183</v>
      </c>
      <c r="F1198" s="32" t="s">
        <v>244</v>
      </c>
      <c r="G1198" s="38" t="s">
        <v>2908</v>
      </c>
      <c r="H1198" s="32" t="s">
        <v>151</v>
      </c>
      <c r="I1198" s="32" t="s">
        <v>120</v>
      </c>
      <c r="J1198" s="32" t="s">
        <v>1814</v>
      </c>
      <c r="K1198" s="32" t="s">
        <v>1513</v>
      </c>
      <c r="L1198" s="32" t="s">
        <v>30</v>
      </c>
      <c r="M1198" s="32" t="s">
        <v>30</v>
      </c>
      <c r="N1198" s="40">
        <v>2010</v>
      </c>
      <c r="O1198" s="32">
        <f>VLOOKUP(Data!N892, CPI!$A$2:$B$112, 2, 0)</f>
        <v>232.95699999999999</v>
      </c>
      <c r="P1198" s="32" t="s">
        <v>238</v>
      </c>
      <c r="Q1198" s="32" t="s">
        <v>239</v>
      </c>
      <c r="R1198" s="32" t="s">
        <v>2650</v>
      </c>
      <c r="S1198" s="32">
        <v>12700000</v>
      </c>
      <c r="T1198" s="32" t="s">
        <v>300</v>
      </c>
      <c r="U1198" s="32">
        <f t="shared" si="76"/>
        <v>80.994496801265726</v>
      </c>
      <c r="V1198" s="32" t="s">
        <v>316</v>
      </c>
      <c r="X1198" s="32">
        <f t="shared" si="73"/>
        <v>80.994496801265726</v>
      </c>
      <c r="Y1198" s="32">
        <f>(CPI!$B$112/O1198)*X1198</f>
        <v>105.93002164903839</v>
      </c>
      <c r="Z1198" s="38" t="s">
        <v>262</v>
      </c>
      <c r="AA1198" s="35" t="s">
        <v>1446</v>
      </c>
      <c r="AB1198" s="32">
        <f>1453700000/9271</f>
        <v>156800.77661525187</v>
      </c>
      <c r="AC1198" s="32" t="s">
        <v>2661</v>
      </c>
      <c r="AH1198" s="32" t="s">
        <v>411</v>
      </c>
      <c r="AJ1198" s="35" t="s">
        <v>2278</v>
      </c>
      <c r="AK1198" s="40" t="s">
        <v>1816</v>
      </c>
      <c r="AL1198" s="32">
        <v>2020</v>
      </c>
      <c r="AM1198" s="32" t="s">
        <v>1817</v>
      </c>
      <c r="AN1198" s="32" t="s">
        <v>1818</v>
      </c>
      <c r="AO1198" s="38" t="s">
        <v>1821</v>
      </c>
      <c r="AP1198" s="35" t="s">
        <v>396</v>
      </c>
    </row>
    <row r="1199" spans="1:42" x14ac:dyDescent="0.2">
      <c r="A1199" s="40">
        <v>120</v>
      </c>
      <c r="B1199" s="40">
        <v>1198</v>
      </c>
      <c r="C1199" s="40" t="s">
        <v>114</v>
      </c>
      <c r="D1199" s="38" t="s">
        <v>218</v>
      </c>
      <c r="E1199" s="32" t="s">
        <v>2183</v>
      </c>
      <c r="F1199" s="32" t="s">
        <v>244</v>
      </c>
      <c r="G1199" s="38" t="s">
        <v>2908</v>
      </c>
      <c r="H1199" s="32" t="s">
        <v>151</v>
      </c>
      <c r="I1199" s="32" t="s">
        <v>120</v>
      </c>
      <c r="J1199" s="32" t="s">
        <v>1814</v>
      </c>
      <c r="K1199" s="32" t="s">
        <v>1513</v>
      </c>
      <c r="L1199" s="32" t="s">
        <v>30</v>
      </c>
      <c r="M1199" s="32" t="s">
        <v>30</v>
      </c>
      <c r="N1199" s="40">
        <v>2010</v>
      </c>
      <c r="O1199" s="32">
        <f>VLOOKUP(Data!N893, CPI!$A$2:$B$112, 2, 0)</f>
        <v>177.1</v>
      </c>
      <c r="P1199" s="32" t="s">
        <v>238</v>
      </c>
      <c r="Q1199" s="32" t="s">
        <v>239</v>
      </c>
      <c r="R1199" s="32" t="s">
        <v>2651</v>
      </c>
      <c r="S1199" s="32">
        <v>12800000</v>
      </c>
      <c r="T1199" s="32" t="s">
        <v>300</v>
      </c>
      <c r="U1199" s="32">
        <f t="shared" si="76"/>
        <v>81.030249231819724</v>
      </c>
      <c r="V1199" s="32" t="s">
        <v>316</v>
      </c>
      <c r="X1199" s="32">
        <f t="shared" si="73"/>
        <v>81.030249231819724</v>
      </c>
      <c r="Y1199" s="32">
        <f>(CPI!$B$112/O1199)*X1199</f>
        <v>139.40165436273762</v>
      </c>
      <c r="Z1199" s="38" t="s">
        <v>262</v>
      </c>
      <c r="AA1199" s="35" t="s">
        <v>1446</v>
      </c>
      <c r="AB1199" s="32">
        <f>1464500000/9271</f>
        <v>157965.69949304283</v>
      </c>
      <c r="AC1199" s="32" t="s">
        <v>2661</v>
      </c>
      <c r="AH1199" s="32" t="s">
        <v>411</v>
      </c>
      <c r="AJ1199" s="35" t="s">
        <v>2278</v>
      </c>
      <c r="AK1199" s="40" t="s">
        <v>1816</v>
      </c>
      <c r="AL1199" s="32">
        <v>2020</v>
      </c>
      <c r="AM1199" s="32" t="s">
        <v>1817</v>
      </c>
      <c r="AN1199" s="32" t="s">
        <v>1818</v>
      </c>
      <c r="AO1199" s="38" t="s">
        <v>1822</v>
      </c>
      <c r="AP1199" s="35" t="s">
        <v>396</v>
      </c>
    </row>
    <row r="1200" spans="1:42" x14ac:dyDescent="0.2">
      <c r="A1200" s="40">
        <v>120</v>
      </c>
      <c r="B1200" s="40">
        <v>1199</v>
      </c>
      <c r="C1200" s="40" t="s">
        <v>114</v>
      </c>
      <c r="D1200" s="38" t="s">
        <v>218</v>
      </c>
      <c r="E1200" s="32" t="s">
        <v>2183</v>
      </c>
      <c r="F1200" s="32" t="s">
        <v>244</v>
      </c>
      <c r="G1200" s="38" t="s">
        <v>2908</v>
      </c>
      <c r="H1200" s="32" t="s">
        <v>151</v>
      </c>
      <c r="I1200" s="32" t="s">
        <v>120</v>
      </c>
      <c r="J1200" s="32" t="s">
        <v>1812</v>
      </c>
      <c r="K1200" s="32" t="s">
        <v>1513</v>
      </c>
      <c r="L1200" s="32" t="s">
        <v>30</v>
      </c>
      <c r="M1200" s="32" t="s">
        <v>30</v>
      </c>
      <c r="N1200" s="40">
        <v>2010</v>
      </c>
      <c r="O1200" s="32">
        <f>VLOOKUP(Data!N894, CPI!$A$2:$B$112, 2, 0)</f>
        <v>177.1</v>
      </c>
      <c r="P1200" s="32" t="s">
        <v>238</v>
      </c>
      <c r="Q1200" s="32" t="s">
        <v>239</v>
      </c>
      <c r="R1200" s="32" t="s">
        <v>2652</v>
      </c>
      <c r="S1200" s="32">
        <v>49200000</v>
      </c>
      <c r="T1200" s="32" t="s">
        <v>300</v>
      </c>
      <c r="U1200" s="32">
        <f t="shared" si="76"/>
        <v>86.9404746021157</v>
      </c>
      <c r="V1200" s="32" t="s">
        <v>316</v>
      </c>
      <c r="X1200" s="32">
        <f t="shared" si="73"/>
        <v>86.9404746021157</v>
      </c>
      <c r="Y1200" s="32">
        <f>(CPI!$B$112/O1200)*X1200</f>
        <v>149.56940285279592</v>
      </c>
      <c r="Z1200" s="38" t="s">
        <v>262</v>
      </c>
      <c r="AA1200" s="35" t="s">
        <v>1446</v>
      </c>
      <c r="AB1200" s="32">
        <f>5246500000/9271</f>
        <v>565904.43317872938</v>
      </c>
      <c r="AC1200" s="32" t="s">
        <v>2661</v>
      </c>
      <c r="AH1200" s="32" t="s">
        <v>411</v>
      </c>
      <c r="AJ1200" s="35" t="s">
        <v>2278</v>
      </c>
      <c r="AK1200" s="40" t="s">
        <v>1816</v>
      </c>
      <c r="AL1200" s="32">
        <v>2020</v>
      </c>
      <c r="AM1200" s="32" t="s">
        <v>1817</v>
      </c>
      <c r="AN1200" s="32" t="s">
        <v>1818</v>
      </c>
      <c r="AO1200" s="38" t="s">
        <v>1823</v>
      </c>
      <c r="AP1200" s="35" t="s">
        <v>396</v>
      </c>
    </row>
    <row r="1201" spans="1:42" x14ac:dyDescent="0.2">
      <c r="A1201" s="40">
        <v>120</v>
      </c>
      <c r="B1201" s="40">
        <v>1200</v>
      </c>
      <c r="C1201" s="40" t="s">
        <v>114</v>
      </c>
      <c r="D1201" s="38" t="s">
        <v>218</v>
      </c>
      <c r="E1201" s="32" t="s">
        <v>2183</v>
      </c>
      <c r="F1201" s="32" t="s">
        <v>244</v>
      </c>
      <c r="G1201" s="38" t="s">
        <v>2908</v>
      </c>
      <c r="H1201" s="32" t="s">
        <v>151</v>
      </c>
      <c r="I1201" s="32" t="s">
        <v>120</v>
      </c>
      <c r="J1201" s="32" t="s">
        <v>1812</v>
      </c>
      <c r="K1201" s="32" t="s">
        <v>1513</v>
      </c>
      <c r="L1201" s="32" t="s">
        <v>30</v>
      </c>
      <c r="M1201" s="32" t="s">
        <v>30</v>
      </c>
      <c r="N1201" s="40">
        <v>2010</v>
      </c>
      <c r="O1201" s="32">
        <f>VLOOKUP(Data!N895, CPI!$A$2:$B$112, 2, 0)</f>
        <v>177.1</v>
      </c>
      <c r="P1201" s="32" t="s">
        <v>238</v>
      </c>
      <c r="Q1201" s="32" t="s">
        <v>239</v>
      </c>
      <c r="R1201" s="32" t="s">
        <v>2653</v>
      </c>
      <c r="S1201" s="32">
        <v>50600000</v>
      </c>
      <c r="T1201" s="32" t="s">
        <v>300</v>
      </c>
      <c r="U1201" s="32">
        <f t="shared" si="76"/>
        <v>87.043567001892612</v>
      </c>
      <c r="V1201" s="32" t="s">
        <v>316</v>
      </c>
      <c r="X1201" s="32">
        <f t="shared" si="73"/>
        <v>87.043567001892612</v>
      </c>
      <c r="Y1201" s="32">
        <f>(CPI!$B$112/O1201)*X1201</f>
        <v>149.7467594722975</v>
      </c>
      <c r="Z1201" s="38" t="s">
        <v>262</v>
      </c>
      <c r="AA1201" s="35" t="s">
        <v>1446</v>
      </c>
      <c r="AB1201" s="32">
        <f>5389400000/9271</f>
        <v>581318.08866357454</v>
      </c>
      <c r="AC1201" s="32" t="s">
        <v>2661</v>
      </c>
      <c r="AH1201" s="32" t="s">
        <v>411</v>
      </c>
      <c r="AJ1201" s="35" t="s">
        <v>2278</v>
      </c>
      <c r="AK1201" s="40" t="s">
        <v>1816</v>
      </c>
      <c r="AL1201" s="32">
        <v>2020</v>
      </c>
      <c r="AM1201" s="32" t="s">
        <v>1817</v>
      </c>
      <c r="AN1201" s="32" t="s">
        <v>1818</v>
      </c>
      <c r="AO1201" s="38" t="s">
        <v>1824</v>
      </c>
      <c r="AP1201" s="35" t="s">
        <v>396</v>
      </c>
    </row>
    <row r="1202" spans="1:42" x14ac:dyDescent="0.2">
      <c r="A1202" s="40">
        <v>120</v>
      </c>
      <c r="B1202" s="40">
        <v>1201</v>
      </c>
      <c r="C1202" s="40" t="s">
        <v>114</v>
      </c>
      <c r="D1202" s="38" t="s">
        <v>218</v>
      </c>
      <c r="E1202" s="32" t="s">
        <v>2183</v>
      </c>
      <c r="F1202" s="32" t="s">
        <v>244</v>
      </c>
      <c r="G1202" s="38" t="s">
        <v>2908</v>
      </c>
      <c r="H1202" s="32" t="s">
        <v>151</v>
      </c>
      <c r="I1202" s="32" t="s">
        <v>120</v>
      </c>
      <c r="J1202" s="32" t="s">
        <v>1812</v>
      </c>
      <c r="K1202" s="32" t="s">
        <v>1513</v>
      </c>
      <c r="L1202" s="32" t="s">
        <v>30</v>
      </c>
      <c r="M1202" s="32" t="s">
        <v>30</v>
      </c>
      <c r="N1202" s="40">
        <v>2010</v>
      </c>
      <c r="O1202" s="32">
        <f>VLOOKUP(Data!N896, CPI!$A$2:$B$112, 2, 0)</f>
        <v>177.1</v>
      </c>
      <c r="P1202" s="32" t="s">
        <v>238</v>
      </c>
      <c r="Q1202" s="32" t="s">
        <v>239</v>
      </c>
      <c r="R1202" s="32" t="s">
        <v>2654</v>
      </c>
      <c r="S1202" s="32">
        <v>51300000</v>
      </c>
      <c r="T1202" s="32" t="s">
        <v>300</v>
      </c>
      <c r="U1202" s="32">
        <f t="shared" si="76"/>
        <v>86.961712164707166</v>
      </c>
      <c r="V1202" s="32" t="s">
        <v>316</v>
      </c>
      <c r="X1202" s="32">
        <f t="shared" si="73"/>
        <v>86.961712164707166</v>
      </c>
      <c r="Y1202" s="32">
        <f>(CPI!$B$112/O1202)*X1202</f>
        <v>149.60593922517475</v>
      </c>
      <c r="Z1202" s="38" t="s">
        <v>262</v>
      </c>
      <c r="AA1202" s="35" t="s">
        <v>1446</v>
      </c>
      <c r="AB1202" s="32">
        <f>5469100000/9271</f>
        <v>589914.78804875421</v>
      </c>
      <c r="AC1202" s="32" t="s">
        <v>2661</v>
      </c>
      <c r="AH1202" s="32" t="s">
        <v>411</v>
      </c>
      <c r="AJ1202" s="35" t="s">
        <v>2278</v>
      </c>
      <c r="AK1202" s="40" t="s">
        <v>1816</v>
      </c>
      <c r="AL1202" s="32">
        <v>2020</v>
      </c>
      <c r="AM1202" s="32" t="s">
        <v>1817</v>
      </c>
      <c r="AN1202" s="32" t="s">
        <v>1818</v>
      </c>
      <c r="AO1202" s="38" t="s">
        <v>1825</v>
      </c>
      <c r="AP1202" s="35" t="s">
        <v>396</v>
      </c>
    </row>
    <row r="1203" spans="1:42" x14ac:dyDescent="0.2">
      <c r="A1203" s="40">
        <v>120</v>
      </c>
      <c r="B1203" s="40">
        <v>1202</v>
      </c>
      <c r="C1203" s="40" t="s">
        <v>114</v>
      </c>
      <c r="D1203" s="38" t="s">
        <v>218</v>
      </c>
      <c r="E1203" s="32" t="s">
        <v>2183</v>
      </c>
      <c r="F1203" s="32" t="s">
        <v>244</v>
      </c>
      <c r="G1203" s="38" t="s">
        <v>2908</v>
      </c>
      <c r="H1203" s="32" t="s">
        <v>151</v>
      </c>
      <c r="I1203" s="32" t="s">
        <v>120</v>
      </c>
      <c r="J1203" s="32" t="s">
        <v>1815</v>
      </c>
      <c r="K1203" s="32" t="s">
        <v>1513</v>
      </c>
      <c r="L1203" s="32" t="s">
        <v>30</v>
      </c>
      <c r="M1203" s="32" t="s">
        <v>30</v>
      </c>
      <c r="N1203" s="40">
        <v>2010</v>
      </c>
      <c r="O1203" s="32">
        <f>VLOOKUP(Data!N897, CPI!$A$2:$B$112, 2, 0)</f>
        <v>177.1</v>
      </c>
      <c r="P1203" s="32" t="s">
        <v>238</v>
      </c>
      <c r="Q1203" s="32" t="s">
        <v>239</v>
      </c>
      <c r="R1203" s="32" t="s">
        <v>2655</v>
      </c>
      <c r="S1203" s="32">
        <v>78800000</v>
      </c>
      <c r="T1203" s="32" t="s">
        <v>300</v>
      </c>
      <c r="U1203" s="32">
        <f t="shared" si="76"/>
        <v>74.887989093108374</v>
      </c>
      <c r="V1203" s="32" t="s">
        <v>316</v>
      </c>
      <c r="X1203" s="32">
        <f t="shared" si="73"/>
        <v>74.887989093108374</v>
      </c>
      <c r="Y1203" s="32">
        <f>(CPI!$B$112/O1203)*X1203</f>
        <v>128.83472123615871</v>
      </c>
      <c r="Z1203" s="38" t="s">
        <v>262</v>
      </c>
      <c r="AA1203" s="35" t="s">
        <v>1446</v>
      </c>
      <c r="AB1203" s="32">
        <f>9755300000/9271</f>
        <v>1052238.1620105705</v>
      </c>
      <c r="AC1203" s="32" t="s">
        <v>2661</v>
      </c>
      <c r="AH1203" s="32" t="s">
        <v>411</v>
      </c>
      <c r="AJ1203" s="35" t="s">
        <v>2278</v>
      </c>
      <c r="AK1203" s="40" t="s">
        <v>1816</v>
      </c>
      <c r="AL1203" s="32">
        <v>2020</v>
      </c>
      <c r="AM1203" s="32" t="s">
        <v>1817</v>
      </c>
      <c r="AN1203" s="32" t="s">
        <v>1818</v>
      </c>
      <c r="AO1203" s="38" t="s">
        <v>1826</v>
      </c>
      <c r="AP1203" s="35" t="s">
        <v>396</v>
      </c>
    </row>
    <row r="1204" spans="1:42" x14ac:dyDescent="0.2">
      <c r="A1204" s="40">
        <v>120</v>
      </c>
      <c r="B1204" s="40">
        <v>1203</v>
      </c>
      <c r="C1204" s="40" t="s">
        <v>114</v>
      </c>
      <c r="D1204" s="38" t="s">
        <v>218</v>
      </c>
      <c r="E1204" s="32" t="s">
        <v>2183</v>
      </c>
      <c r="F1204" s="32" t="s">
        <v>244</v>
      </c>
      <c r="G1204" s="38" t="s">
        <v>2908</v>
      </c>
      <c r="H1204" s="32" t="s">
        <v>151</v>
      </c>
      <c r="I1204" s="32" t="s">
        <v>120</v>
      </c>
      <c r="J1204" s="32" t="s">
        <v>1815</v>
      </c>
      <c r="K1204" s="32" t="s">
        <v>1513</v>
      </c>
      <c r="L1204" s="32" t="s">
        <v>30</v>
      </c>
      <c r="M1204" s="32" t="s">
        <v>30</v>
      </c>
      <c r="N1204" s="40">
        <v>2010</v>
      </c>
      <c r="O1204" s="32">
        <f>VLOOKUP(Data!N898, CPI!$A$2:$B$112, 2, 0)</f>
        <v>177.1</v>
      </c>
      <c r="P1204" s="32" t="s">
        <v>238</v>
      </c>
      <c r="Q1204" s="32" t="s">
        <v>239</v>
      </c>
      <c r="R1204" s="32" t="s">
        <v>2656</v>
      </c>
      <c r="S1204" s="32">
        <v>78800000</v>
      </c>
      <c r="T1204" s="32" t="s">
        <v>300</v>
      </c>
      <c r="U1204" s="32">
        <f t="shared" si="76"/>
        <v>74.865733434444877</v>
      </c>
      <c r="V1204" s="32" t="s">
        <v>316</v>
      </c>
      <c r="X1204" s="32">
        <f t="shared" si="73"/>
        <v>74.865733434444877</v>
      </c>
      <c r="Y1204" s="32">
        <f>(CPI!$B$112/O1204)*X1204</f>
        <v>128.79643336630721</v>
      </c>
      <c r="Z1204" s="38" t="s">
        <v>262</v>
      </c>
      <c r="AA1204" s="35" t="s">
        <v>1446</v>
      </c>
      <c r="AB1204" s="32">
        <f>9758200000/9271</f>
        <v>1052550.9653759033</v>
      </c>
      <c r="AC1204" s="32" t="s">
        <v>2661</v>
      </c>
      <c r="AH1204" s="32" t="s">
        <v>411</v>
      </c>
      <c r="AJ1204" s="35" t="s">
        <v>2278</v>
      </c>
      <c r="AK1204" s="40" t="s">
        <v>1816</v>
      </c>
      <c r="AL1204" s="32">
        <v>2020</v>
      </c>
      <c r="AM1204" s="32" t="s">
        <v>1817</v>
      </c>
      <c r="AN1204" s="32" t="s">
        <v>1818</v>
      </c>
      <c r="AO1204" s="38" t="s">
        <v>1827</v>
      </c>
      <c r="AP1204" s="35" t="s">
        <v>396</v>
      </c>
    </row>
    <row r="1205" spans="1:42" x14ac:dyDescent="0.2">
      <c r="A1205" s="40">
        <v>120</v>
      </c>
      <c r="B1205" s="40">
        <v>1204</v>
      </c>
      <c r="C1205" s="40" t="s">
        <v>114</v>
      </c>
      <c r="D1205" s="38" t="s">
        <v>218</v>
      </c>
      <c r="E1205" s="32" t="s">
        <v>2183</v>
      </c>
      <c r="F1205" s="32" t="s">
        <v>244</v>
      </c>
      <c r="G1205" s="38" t="s">
        <v>2908</v>
      </c>
      <c r="H1205" s="32" t="s">
        <v>151</v>
      </c>
      <c r="I1205" s="32" t="s">
        <v>120</v>
      </c>
      <c r="J1205" s="32" t="s">
        <v>1815</v>
      </c>
      <c r="K1205" s="32" t="s">
        <v>1513</v>
      </c>
      <c r="L1205" s="32" t="s">
        <v>30</v>
      </c>
      <c r="M1205" s="32" t="s">
        <v>30</v>
      </c>
      <c r="N1205" s="40">
        <v>2010</v>
      </c>
      <c r="O1205" s="32">
        <f>VLOOKUP(Data!N899, CPI!$A$2:$B$112, 2, 0)</f>
        <v>177.1</v>
      </c>
      <c r="P1205" s="32" t="s">
        <v>238</v>
      </c>
      <c r="Q1205" s="32" t="s">
        <v>239</v>
      </c>
      <c r="R1205" s="32" t="s">
        <v>2657</v>
      </c>
      <c r="S1205" s="32">
        <v>80300000</v>
      </c>
      <c r="T1205" s="32" t="s">
        <v>300</v>
      </c>
      <c r="U1205" s="32">
        <f t="shared" si="76"/>
        <v>74.934477993080918</v>
      </c>
      <c r="V1205" s="32" t="s">
        <v>316</v>
      </c>
      <c r="X1205" s="32">
        <f t="shared" si="73"/>
        <v>74.934477993080918</v>
      </c>
      <c r="Y1205" s="32">
        <f>(CPI!$B$112/O1205)*X1205</f>
        <v>128.91469914104132</v>
      </c>
      <c r="Z1205" s="38" t="s">
        <v>262</v>
      </c>
      <c r="AA1205" s="35" t="s">
        <v>1446</v>
      </c>
      <c r="AB1205" s="32">
        <f>9934830000/9271</f>
        <v>1071602.8475892567</v>
      </c>
      <c r="AC1205" s="32" t="s">
        <v>2661</v>
      </c>
      <c r="AH1205" s="32" t="s">
        <v>411</v>
      </c>
      <c r="AJ1205" s="35" t="s">
        <v>2278</v>
      </c>
      <c r="AK1205" s="40" t="s">
        <v>1816</v>
      </c>
      <c r="AL1205" s="32">
        <v>2020</v>
      </c>
      <c r="AM1205" s="32" t="s">
        <v>1817</v>
      </c>
      <c r="AN1205" s="32" t="s">
        <v>1818</v>
      </c>
      <c r="AO1205" s="38" t="s">
        <v>1828</v>
      </c>
      <c r="AP1205" s="35" t="s">
        <v>396</v>
      </c>
    </row>
    <row r="1206" spans="1:42" x14ac:dyDescent="0.2">
      <c r="A1206" s="40">
        <v>120</v>
      </c>
      <c r="B1206" s="40">
        <v>1205</v>
      </c>
      <c r="C1206" s="40" t="s">
        <v>114</v>
      </c>
      <c r="D1206" s="38" t="s">
        <v>218</v>
      </c>
      <c r="E1206" s="32" t="s">
        <v>2183</v>
      </c>
      <c r="F1206" s="32" t="s">
        <v>244</v>
      </c>
      <c r="G1206" s="38" t="s">
        <v>2908</v>
      </c>
      <c r="H1206" s="32" t="s">
        <v>151</v>
      </c>
      <c r="I1206" s="32" t="s">
        <v>120</v>
      </c>
      <c r="J1206" s="32" t="s">
        <v>1813</v>
      </c>
      <c r="K1206" s="32" t="s">
        <v>1513</v>
      </c>
      <c r="L1206" s="32" t="s">
        <v>30</v>
      </c>
      <c r="M1206" s="32" t="s">
        <v>30</v>
      </c>
      <c r="N1206" s="40">
        <v>2010</v>
      </c>
      <c r="O1206" s="32">
        <f>VLOOKUP(Data!N900, CPI!$A$2:$B$112, 2, 0)</f>
        <v>177.1</v>
      </c>
      <c r="P1206" s="32" t="s">
        <v>238</v>
      </c>
      <c r="Q1206" s="32" t="s">
        <v>239</v>
      </c>
      <c r="R1206" s="32" t="s">
        <v>2658</v>
      </c>
      <c r="S1206" s="32">
        <v>17200000</v>
      </c>
      <c r="T1206" s="32" t="s">
        <v>300</v>
      </c>
      <c r="U1206" s="32">
        <f t="shared" si="76"/>
        <v>27.693371077265066</v>
      </c>
      <c r="V1206" s="32" t="s">
        <v>316</v>
      </c>
      <c r="X1206" s="32">
        <f t="shared" si="73"/>
        <v>27.693371077265066</v>
      </c>
      <c r="Y1206" s="32">
        <f>(CPI!$B$112/O1206)*X1206</f>
        <v>47.642723299633658</v>
      </c>
      <c r="Z1206" s="38" t="s">
        <v>262</v>
      </c>
      <c r="AA1206" s="35" t="s">
        <v>1446</v>
      </c>
      <c r="AB1206" s="32">
        <f>5758100000/9271</f>
        <v>621087.26135260495</v>
      </c>
      <c r="AC1206" s="32" t="s">
        <v>2661</v>
      </c>
      <c r="AH1206" s="32" t="s">
        <v>411</v>
      </c>
      <c r="AJ1206" s="35" t="s">
        <v>2278</v>
      </c>
      <c r="AK1206" s="40" t="s">
        <v>1816</v>
      </c>
      <c r="AL1206" s="32">
        <v>2020</v>
      </c>
      <c r="AM1206" s="32" t="s">
        <v>1817</v>
      </c>
      <c r="AN1206" s="32" t="s">
        <v>1818</v>
      </c>
      <c r="AO1206" s="38" t="s">
        <v>1829</v>
      </c>
      <c r="AP1206" s="35" t="s">
        <v>396</v>
      </c>
    </row>
    <row r="1207" spans="1:42" x14ac:dyDescent="0.2">
      <c r="A1207" s="40">
        <v>120</v>
      </c>
      <c r="B1207" s="40">
        <v>1206</v>
      </c>
      <c r="C1207" s="40" t="s">
        <v>114</v>
      </c>
      <c r="D1207" s="38" t="s">
        <v>218</v>
      </c>
      <c r="E1207" s="32" t="s">
        <v>2183</v>
      </c>
      <c r="F1207" s="32" t="s">
        <v>244</v>
      </c>
      <c r="G1207" s="38" t="s">
        <v>2908</v>
      </c>
      <c r="H1207" s="32" t="s">
        <v>151</v>
      </c>
      <c r="I1207" s="32" t="s">
        <v>120</v>
      </c>
      <c r="J1207" s="32" t="s">
        <v>1813</v>
      </c>
      <c r="K1207" s="32" t="s">
        <v>1513</v>
      </c>
      <c r="L1207" s="32" t="s">
        <v>30</v>
      </c>
      <c r="M1207" s="32" t="s">
        <v>30</v>
      </c>
      <c r="N1207" s="40">
        <v>2010</v>
      </c>
      <c r="O1207" s="32">
        <f>VLOOKUP(Data!N901, CPI!$A$2:$B$112, 2, 0)</f>
        <v>177.1</v>
      </c>
      <c r="P1207" s="32" t="s">
        <v>238</v>
      </c>
      <c r="Q1207" s="32" t="s">
        <v>239</v>
      </c>
      <c r="R1207" s="32" t="s">
        <v>2659</v>
      </c>
      <c r="S1207" s="32">
        <v>16900000</v>
      </c>
      <c r="T1207" s="32" t="s">
        <v>300</v>
      </c>
      <c r="U1207" s="32">
        <f t="shared" si="76"/>
        <v>27.777169095486293</v>
      </c>
      <c r="V1207" s="32" t="s">
        <v>316</v>
      </c>
      <c r="X1207" s="32">
        <f t="shared" si="73"/>
        <v>27.777169095486293</v>
      </c>
      <c r="Y1207" s="32">
        <f>(CPI!$B$112/O1207)*X1207</f>
        <v>47.786886528589527</v>
      </c>
      <c r="Z1207" s="38" t="s">
        <v>262</v>
      </c>
      <c r="AA1207" s="35" t="s">
        <v>1446</v>
      </c>
      <c r="AB1207" s="32">
        <f>5640600000/9271</f>
        <v>608413.331895157</v>
      </c>
      <c r="AC1207" s="32" t="s">
        <v>2661</v>
      </c>
      <c r="AH1207" s="32" t="s">
        <v>411</v>
      </c>
      <c r="AJ1207" s="35" t="s">
        <v>2278</v>
      </c>
      <c r="AK1207" s="40" t="s">
        <v>1816</v>
      </c>
      <c r="AL1207" s="32">
        <v>2020</v>
      </c>
      <c r="AM1207" s="32" t="s">
        <v>1817</v>
      </c>
      <c r="AN1207" s="32" t="s">
        <v>1818</v>
      </c>
      <c r="AO1207" s="38" t="s">
        <v>1830</v>
      </c>
      <c r="AP1207" s="35" t="s">
        <v>396</v>
      </c>
    </row>
    <row r="1208" spans="1:42" x14ac:dyDescent="0.2">
      <c r="A1208" s="40">
        <v>120</v>
      </c>
      <c r="B1208" s="40">
        <v>1207</v>
      </c>
      <c r="C1208" s="40" t="s">
        <v>114</v>
      </c>
      <c r="D1208" s="38" t="s">
        <v>218</v>
      </c>
      <c r="E1208" s="32" t="s">
        <v>2183</v>
      </c>
      <c r="F1208" s="32" t="s">
        <v>244</v>
      </c>
      <c r="G1208" s="38" t="s">
        <v>2908</v>
      </c>
      <c r="H1208" s="32" t="s">
        <v>151</v>
      </c>
      <c r="I1208" s="32" t="s">
        <v>120</v>
      </c>
      <c r="J1208" s="32" t="s">
        <v>1813</v>
      </c>
      <c r="K1208" s="32" t="s">
        <v>1513</v>
      </c>
      <c r="L1208" s="32" t="s">
        <v>30</v>
      </c>
      <c r="M1208" s="32" t="s">
        <v>30</v>
      </c>
      <c r="N1208" s="40">
        <v>2010</v>
      </c>
      <c r="O1208" s="32">
        <f>VLOOKUP(Data!N902, CPI!$A$2:$B$112, 2, 0)</f>
        <v>177.1</v>
      </c>
      <c r="P1208" s="32" t="s">
        <v>238</v>
      </c>
      <c r="Q1208" s="32" t="s">
        <v>239</v>
      </c>
      <c r="R1208" s="32" t="s">
        <v>2660</v>
      </c>
      <c r="S1208" s="32">
        <v>17200000</v>
      </c>
      <c r="T1208" s="32" t="s">
        <v>300</v>
      </c>
      <c r="U1208" s="32">
        <f t="shared" si="76"/>
        <v>27.806468713162722</v>
      </c>
      <c r="V1208" s="32" t="s">
        <v>316</v>
      </c>
      <c r="X1208" s="32">
        <f t="shared" si="73"/>
        <v>27.806468713162722</v>
      </c>
      <c r="Y1208" s="32">
        <f>(CPI!$B$112/O1208)*X1208</f>
        <v>47.837292583303793</v>
      </c>
      <c r="Z1208" s="38" t="s">
        <v>262</v>
      </c>
      <c r="AA1208" s="35" t="s">
        <v>1446</v>
      </c>
      <c r="AB1208" s="32">
        <f>5734680000/9271</f>
        <v>618561.10451946931</v>
      </c>
      <c r="AC1208" s="32" t="s">
        <v>2661</v>
      </c>
      <c r="AH1208" s="32" t="s">
        <v>411</v>
      </c>
      <c r="AJ1208" s="35" t="s">
        <v>2278</v>
      </c>
      <c r="AK1208" s="40" t="s">
        <v>1816</v>
      </c>
      <c r="AL1208" s="32">
        <v>2020</v>
      </c>
      <c r="AM1208" s="32" t="s">
        <v>1817</v>
      </c>
      <c r="AN1208" s="32" t="s">
        <v>1818</v>
      </c>
      <c r="AO1208" s="38" t="s">
        <v>1831</v>
      </c>
      <c r="AP1208" s="35" t="s">
        <v>396</v>
      </c>
    </row>
    <row r="1209" spans="1:42" x14ac:dyDescent="0.2">
      <c r="A1209" s="40">
        <v>120</v>
      </c>
      <c r="B1209" s="40">
        <v>1208</v>
      </c>
      <c r="C1209" s="40" t="s">
        <v>114</v>
      </c>
      <c r="D1209" s="38" t="s">
        <v>218</v>
      </c>
      <c r="E1209" s="32" t="s">
        <v>2183</v>
      </c>
      <c r="F1209" s="32" t="s">
        <v>244</v>
      </c>
      <c r="G1209" s="38" t="s">
        <v>2908</v>
      </c>
      <c r="H1209" s="32" t="s">
        <v>151</v>
      </c>
      <c r="I1209" s="32" t="s">
        <v>120</v>
      </c>
      <c r="J1209" s="32" t="s">
        <v>1815</v>
      </c>
      <c r="K1209" s="32" t="s">
        <v>1513</v>
      </c>
      <c r="L1209" s="32" t="s">
        <v>30</v>
      </c>
      <c r="M1209" s="32" t="s">
        <v>30</v>
      </c>
      <c r="N1209" s="40">
        <v>2010</v>
      </c>
      <c r="O1209" s="32">
        <f>VLOOKUP(Data!N903, CPI!$A$2:$B$112, 2, 0)</f>
        <v>177.1</v>
      </c>
      <c r="P1209" s="32" t="s">
        <v>238</v>
      </c>
      <c r="Q1209" s="32" t="s">
        <v>239</v>
      </c>
      <c r="R1209" s="32" t="s">
        <v>1809</v>
      </c>
      <c r="S1209" s="32">
        <v>157300000</v>
      </c>
      <c r="T1209" s="32" t="s">
        <v>300</v>
      </c>
      <c r="U1209" s="32">
        <f t="shared" si="76"/>
        <v>65.875627891008961</v>
      </c>
      <c r="V1209" s="32" t="s">
        <v>316</v>
      </c>
      <c r="X1209" s="32">
        <f t="shared" si="73"/>
        <v>65.875627891008961</v>
      </c>
      <c r="Y1209" s="32">
        <f>(CPI!$B$112/O1209)*X1209</f>
        <v>113.33016493530191</v>
      </c>
      <c r="Z1209" s="38" t="s">
        <v>262</v>
      </c>
      <c r="AA1209" s="35" t="s">
        <v>1446</v>
      </c>
      <c r="AB1209" s="32">
        <f>22137600000/9271</f>
        <v>2387833.02772085</v>
      </c>
      <c r="AC1209" s="32" t="s">
        <v>2661</v>
      </c>
      <c r="AH1209" s="32" t="s">
        <v>411</v>
      </c>
      <c r="AJ1209" s="35" t="s">
        <v>2278</v>
      </c>
      <c r="AK1209" s="40" t="s">
        <v>1816</v>
      </c>
      <c r="AL1209" s="32">
        <v>2020</v>
      </c>
      <c r="AM1209" s="32" t="s">
        <v>1817</v>
      </c>
      <c r="AN1209" s="32" t="s">
        <v>1818</v>
      </c>
      <c r="AO1209" s="38" t="s">
        <v>1832</v>
      </c>
      <c r="AP1209" s="35" t="s">
        <v>396</v>
      </c>
    </row>
    <row r="1210" spans="1:42" x14ac:dyDescent="0.2">
      <c r="A1210" s="40">
        <v>120</v>
      </c>
      <c r="B1210" s="40">
        <v>1209</v>
      </c>
      <c r="C1210" s="40" t="s">
        <v>114</v>
      </c>
      <c r="D1210" s="38" t="s">
        <v>218</v>
      </c>
      <c r="E1210" s="32" t="s">
        <v>2183</v>
      </c>
      <c r="F1210" s="32" t="s">
        <v>244</v>
      </c>
      <c r="G1210" s="38" t="s">
        <v>2908</v>
      </c>
      <c r="H1210" s="32" t="s">
        <v>151</v>
      </c>
      <c r="I1210" s="32" t="s">
        <v>120</v>
      </c>
      <c r="J1210" s="32" t="s">
        <v>1815</v>
      </c>
      <c r="K1210" s="32" t="s">
        <v>1513</v>
      </c>
      <c r="L1210" s="32" t="s">
        <v>30</v>
      </c>
      <c r="M1210" s="32" t="s">
        <v>30</v>
      </c>
      <c r="N1210" s="40">
        <v>2010</v>
      </c>
      <c r="O1210" s="32">
        <f>VLOOKUP(Data!N904, CPI!$A$2:$B$112, 2, 0)</f>
        <v>177.1</v>
      </c>
      <c r="P1210" s="32" t="s">
        <v>238</v>
      </c>
      <c r="Q1210" s="32" t="s">
        <v>239</v>
      </c>
      <c r="R1210" s="32" t="s">
        <v>1810</v>
      </c>
      <c r="S1210" s="32">
        <v>159000000</v>
      </c>
      <c r="T1210" s="32" t="s">
        <v>300</v>
      </c>
      <c r="U1210" s="32">
        <f t="shared" si="76"/>
        <v>66.275318205728823</v>
      </c>
      <c r="V1210" s="32" t="s">
        <v>316</v>
      </c>
      <c r="X1210" s="32">
        <f t="shared" si="73"/>
        <v>66.275318205728823</v>
      </c>
      <c r="Y1210" s="32">
        <f>(CPI!$B$112/O1210)*X1210</f>
        <v>114.0177784084545</v>
      </c>
      <c r="Z1210" s="38" t="s">
        <v>262</v>
      </c>
      <c r="AA1210" s="35" t="s">
        <v>1446</v>
      </c>
      <c r="AB1210" s="32">
        <f>22241900000/9271</f>
        <v>2399083.1625498869</v>
      </c>
      <c r="AC1210" s="32" t="s">
        <v>2661</v>
      </c>
      <c r="AH1210" s="32" t="s">
        <v>411</v>
      </c>
      <c r="AJ1210" s="35" t="s">
        <v>2278</v>
      </c>
      <c r="AK1210" s="40" t="s">
        <v>1816</v>
      </c>
      <c r="AL1210" s="32">
        <v>2020</v>
      </c>
      <c r="AM1210" s="32" t="s">
        <v>1817</v>
      </c>
      <c r="AN1210" s="32" t="s">
        <v>1818</v>
      </c>
      <c r="AO1210" s="38" t="s">
        <v>1833</v>
      </c>
      <c r="AP1210" s="35" t="s">
        <v>396</v>
      </c>
    </row>
    <row r="1211" spans="1:42" x14ac:dyDescent="0.2">
      <c r="A1211" s="40">
        <v>120</v>
      </c>
      <c r="B1211" s="40">
        <v>1210</v>
      </c>
      <c r="C1211" s="40" t="s">
        <v>114</v>
      </c>
      <c r="D1211" s="38" t="s">
        <v>218</v>
      </c>
      <c r="E1211" s="32" t="s">
        <v>2183</v>
      </c>
      <c r="F1211" s="32" t="s">
        <v>244</v>
      </c>
      <c r="G1211" s="38" t="s">
        <v>2908</v>
      </c>
      <c r="H1211" s="32" t="s">
        <v>151</v>
      </c>
      <c r="I1211" s="32" t="s">
        <v>120</v>
      </c>
      <c r="J1211" s="32" t="s">
        <v>1815</v>
      </c>
      <c r="K1211" s="32" t="s">
        <v>1513</v>
      </c>
      <c r="L1211" s="32" t="s">
        <v>30</v>
      </c>
      <c r="M1211" s="32" t="s">
        <v>30</v>
      </c>
      <c r="N1211" s="40">
        <v>2010</v>
      </c>
      <c r="O1211" s="32">
        <f>VLOOKUP(Data!N905, CPI!$A$2:$B$112, 2, 0)</f>
        <v>177.1</v>
      </c>
      <c r="P1211" s="32" t="s">
        <v>238</v>
      </c>
      <c r="Q1211" s="32" t="s">
        <v>239</v>
      </c>
      <c r="R1211" s="32" t="s">
        <v>1811</v>
      </c>
      <c r="S1211" s="32">
        <v>161500000</v>
      </c>
      <c r="T1211" s="32" t="s">
        <v>300</v>
      </c>
      <c r="U1211" s="32">
        <f t="shared" si="76"/>
        <v>66.241614538884249</v>
      </c>
      <c r="V1211" s="32" t="s">
        <v>316</v>
      </c>
      <c r="X1211" s="32">
        <f t="shared" si="73"/>
        <v>66.241614538884249</v>
      </c>
      <c r="Y1211" s="32">
        <f>(CPI!$B$112/O1211)*X1211</f>
        <v>113.95979577899494</v>
      </c>
      <c r="Z1211" s="38" t="s">
        <v>262</v>
      </c>
      <c r="AA1211" s="35" t="s">
        <v>1446</v>
      </c>
      <c r="AB1211" s="32">
        <f>22603110000/9271</f>
        <v>2438044.439650523</v>
      </c>
      <c r="AC1211" s="32" t="s">
        <v>2661</v>
      </c>
      <c r="AH1211" s="32" t="s">
        <v>411</v>
      </c>
      <c r="AJ1211" s="35" t="s">
        <v>2278</v>
      </c>
      <c r="AK1211" s="40" t="s">
        <v>1816</v>
      </c>
      <c r="AL1211" s="32">
        <v>2020</v>
      </c>
      <c r="AM1211" s="32" t="s">
        <v>1817</v>
      </c>
      <c r="AN1211" s="32" t="s">
        <v>1818</v>
      </c>
      <c r="AO1211" s="38" t="s">
        <v>1834</v>
      </c>
      <c r="AP1211" s="35" t="s">
        <v>396</v>
      </c>
    </row>
    <row r="1212" spans="1:42" x14ac:dyDescent="0.2">
      <c r="A1212" s="40">
        <v>121</v>
      </c>
      <c r="B1212" s="40">
        <v>1211</v>
      </c>
      <c r="C1212" s="40" t="s">
        <v>119</v>
      </c>
      <c r="D1212" s="38" t="s">
        <v>128</v>
      </c>
      <c r="E1212" s="32" t="s">
        <v>2186</v>
      </c>
      <c r="F1212" s="32" t="s">
        <v>29</v>
      </c>
      <c r="G1212" s="38" t="s">
        <v>29</v>
      </c>
      <c r="H1212" s="32" t="s">
        <v>151</v>
      </c>
      <c r="I1212" s="32" t="s">
        <v>120</v>
      </c>
      <c r="J1212" s="32" t="s">
        <v>1838</v>
      </c>
      <c r="K1212" s="32" t="s">
        <v>1513</v>
      </c>
      <c r="L1212" s="32" t="s">
        <v>30</v>
      </c>
      <c r="M1212" s="32" t="s">
        <v>30</v>
      </c>
      <c r="N1212" s="40">
        <v>2010</v>
      </c>
      <c r="O1212" s="32">
        <f>VLOOKUP(Data!N1138, CPI!$A$2:$B$112, 2, 0)</f>
        <v>304.67675000000003</v>
      </c>
      <c r="P1212" s="32" t="s">
        <v>7</v>
      </c>
      <c r="Q1212" s="32" t="s">
        <v>250</v>
      </c>
      <c r="R1212" s="32" t="s">
        <v>1835</v>
      </c>
      <c r="S1212" s="32">
        <v>47858000</v>
      </c>
      <c r="T1212" s="32" t="s">
        <v>1305</v>
      </c>
      <c r="U1212" s="32">
        <v>47858000</v>
      </c>
      <c r="V1212" s="32" t="s">
        <v>1487</v>
      </c>
      <c r="W1212" s="32">
        <f>VLOOKUP(N1212, 'Exchange rate- Vietnam'!$A$2:$B$65, 2, 0)</f>
        <v>18612.916666666701</v>
      </c>
      <c r="X1212" s="32">
        <f t="shared" ref="X1212:X1248" si="77">U1212/W1212</f>
        <v>2571.2251796467458</v>
      </c>
      <c r="Y1212" s="32">
        <f>(CPI!$B$112/O1212)*X1212</f>
        <v>2571.2251796467458</v>
      </c>
      <c r="Z1212" s="38" t="s">
        <v>1609</v>
      </c>
      <c r="AA1212" s="35" t="s">
        <v>1446</v>
      </c>
      <c r="AB1212" s="32" t="s">
        <v>30</v>
      </c>
      <c r="AI1212" s="59" t="s">
        <v>2689</v>
      </c>
      <c r="AK1212" s="40" t="s">
        <v>1839</v>
      </c>
      <c r="AL1212" s="32">
        <v>2014</v>
      </c>
      <c r="AM1212" s="32" t="s">
        <v>1840</v>
      </c>
      <c r="AN1212" s="32" t="s">
        <v>1841</v>
      </c>
      <c r="AO1212" s="38" t="s">
        <v>1842</v>
      </c>
      <c r="AP1212" s="35" t="s">
        <v>396</v>
      </c>
    </row>
    <row r="1213" spans="1:42" x14ac:dyDescent="0.2">
      <c r="A1213" s="40">
        <v>121</v>
      </c>
      <c r="B1213" s="40">
        <v>1212</v>
      </c>
      <c r="C1213" s="40" t="s">
        <v>119</v>
      </c>
      <c r="D1213" s="38" t="s">
        <v>128</v>
      </c>
      <c r="E1213" s="32" t="s">
        <v>2186</v>
      </c>
      <c r="F1213" s="32" t="s">
        <v>29</v>
      </c>
      <c r="G1213" s="38" t="s">
        <v>29</v>
      </c>
      <c r="H1213" s="32" t="s">
        <v>151</v>
      </c>
      <c r="I1213" s="32" t="s">
        <v>120</v>
      </c>
      <c r="J1213" s="32" t="s">
        <v>1838</v>
      </c>
      <c r="K1213" s="32" t="s">
        <v>1513</v>
      </c>
      <c r="L1213" s="32" t="s">
        <v>30</v>
      </c>
      <c r="M1213" s="32" t="s">
        <v>30</v>
      </c>
      <c r="N1213" s="40">
        <v>2010</v>
      </c>
      <c r="O1213" s="32">
        <f>VLOOKUP(Data!N1139, CPI!$A$2:$B$112, 2, 0)</f>
        <v>304.67675000000003</v>
      </c>
      <c r="P1213" s="32" t="s">
        <v>7</v>
      </c>
      <c r="Q1213" s="32" t="s">
        <v>250</v>
      </c>
      <c r="R1213" s="32" t="s">
        <v>1836</v>
      </c>
      <c r="S1213" s="32">
        <v>42639000</v>
      </c>
      <c r="T1213" s="32" t="s">
        <v>1305</v>
      </c>
      <c r="U1213" s="32">
        <v>42639000</v>
      </c>
      <c r="V1213" s="32" t="s">
        <v>1487</v>
      </c>
      <c r="W1213" s="32">
        <f>VLOOKUP(N1213, 'Exchange rate- Vietnam'!$A$2:$B$65, 2, 0)</f>
        <v>18612.916666666701</v>
      </c>
      <c r="X1213" s="32">
        <f t="shared" si="77"/>
        <v>2290.8285017125163</v>
      </c>
      <c r="Y1213" s="32">
        <f>(CPI!$B$112/O1213)*X1213</f>
        <v>2290.8285017125163</v>
      </c>
      <c r="Z1213" s="38" t="s">
        <v>1609</v>
      </c>
      <c r="AA1213" s="35" t="s">
        <v>1446</v>
      </c>
      <c r="AB1213" s="32" t="s">
        <v>30</v>
      </c>
      <c r="AI1213" s="59" t="s">
        <v>2690</v>
      </c>
      <c r="AK1213" s="40" t="s">
        <v>1839</v>
      </c>
      <c r="AL1213" s="32">
        <v>2014</v>
      </c>
      <c r="AM1213" s="32" t="s">
        <v>1840</v>
      </c>
      <c r="AN1213" s="32" t="s">
        <v>1841</v>
      </c>
      <c r="AO1213" s="38" t="s">
        <v>1842</v>
      </c>
      <c r="AP1213" s="35" t="s">
        <v>396</v>
      </c>
    </row>
    <row r="1214" spans="1:42" x14ac:dyDescent="0.2">
      <c r="A1214" s="40">
        <v>121</v>
      </c>
      <c r="B1214" s="40">
        <v>1213</v>
      </c>
      <c r="C1214" s="40" t="s">
        <v>119</v>
      </c>
      <c r="D1214" s="38" t="s">
        <v>128</v>
      </c>
      <c r="E1214" s="32" t="s">
        <v>2186</v>
      </c>
      <c r="F1214" s="32" t="s">
        <v>29</v>
      </c>
      <c r="G1214" s="38" t="s">
        <v>29</v>
      </c>
      <c r="H1214" s="32" t="s">
        <v>151</v>
      </c>
      <c r="I1214" s="32" t="s">
        <v>120</v>
      </c>
      <c r="J1214" s="32" t="s">
        <v>1838</v>
      </c>
      <c r="K1214" s="32" t="s">
        <v>1513</v>
      </c>
      <c r="L1214" s="32" t="s">
        <v>30</v>
      </c>
      <c r="M1214" s="32" t="s">
        <v>30</v>
      </c>
      <c r="N1214" s="40">
        <v>2010</v>
      </c>
      <c r="O1214" s="32">
        <f>VLOOKUP(Data!N1140, CPI!$A$2:$B$112, 2, 0)</f>
        <v>304.67675000000003</v>
      </c>
      <c r="P1214" s="32" t="s">
        <v>7</v>
      </c>
      <c r="Q1214" s="32" t="s">
        <v>250</v>
      </c>
      <c r="R1214" s="32" t="s">
        <v>1837</v>
      </c>
      <c r="S1214" s="32">
        <v>37784000</v>
      </c>
      <c r="T1214" s="32" t="s">
        <v>1305</v>
      </c>
      <c r="U1214" s="32">
        <v>37784000</v>
      </c>
      <c r="V1214" s="32" t="s">
        <v>1487</v>
      </c>
      <c r="W1214" s="32">
        <f>VLOOKUP(N1214, 'Exchange rate- Vietnam'!$A$2:$B$65, 2, 0)</f>
        <v>18612.916666666701</v>
      </c>
      <c r="X1214" s="32">
        <f t="shared" si="77"/>
        <v>2029.9881354793902</v>
      </c>
      <c r="Y1214" s="32">
        <f>(CPI!$B$112/O1214)*X1214</f>
        <v>2029.9881354793902</v>
      </c>
      <c r="Z1214" s="38" t="s">
        <v>1609</v>
      </c>
      <c r="AA1214" s="35" t="s">
        <v>1446</v>
      </c>
      <c r="AB1214" s="32" t="s">
        <v>30</v>
      </c>
      <c r="AI1214" s="59" t="s">
        <v>2691</v>
      </c>
      <c r="AK1214" s="40" t="s">
        <v>1839</v>
      </c>
      <c r="AL1214" s="32">
        <v>2014</v>
      </c>
      <c r="AM1214" s="32" t="s">
        <v>1840</v>
      </c>
      <c r="AN1214" s="32" t="s">
        <v>1841</v>
      </c>
      <c r="AO1214" s="38" t="s">
        <v>1842</v>
      </c>
      <c r="AP1214" s="35" t="s">
        <v>396</v>
      </c>
    </row>
    <row r="1215" spans="1:42" x14ac:dyDescent="0.2">
      <c r="A1215" s="40">
        <v>121</v>
      </c>
      <c r="B1215" s="40">
        <v>1214</v>
      </c>
      <c r="C1215" s="40" t="s">
        <v>119</v>
      </c>
      <c r="D1215" s="38" t="s">
        <v>128</v>
      </c>
      <c r="E1215" s="32" t="s">
        <v>2186</v>
      </c>
      <c r="F1215" s="32" t="s">
        <v>29</v>
      </c>
      <c r="G1215" s="38" t="s">
        <v>29</v>
      </c>
      <c r="H1215" s="32" t="s">
        <v>151</v>
      </c>
      <c r="I1215" s="32" t="s">
        <v>120</v>
      </c>
      <c r="J1215" s="32" t="s">
        <v>1838</v>
      </c>
      <c r="K1215" s="32" t="s">
        <v>1513</v>
      </c>
      <c r="L1215" s="32" t="s">
        <v>30</v>
      </c>
      <c r="M1215" s="32" t="s">
        <v>30</v>
      </c>
      <c r="N1215" s="40">
        <v>2010</v>
      </c>
      <c r="O1215" s="32">
        <f>VLOOKUP(Data!N1141, CPI!$A$2:$B$112, 2, 0)</f>
        <v>304.67675000000003</v>
      </c>
      <c r="P1215" s="32" t="s">
        <v>7</v>
      </c>
      <c r="Q1215" s="32" t="s">
        <v>250</v>
      </c>
      <c r="R1215" s="32" t="s">
        <v>2662</v>
      </c>
      <c r="S1215" s="32">
        <v>91959000</v>
      </c>
      <c r="T1215" s="32" t="s">
        <v>1305</v>
      </c>
      <c r="U1215" s="32">
        <v>91959000</v>
      </c>
      <c r="V1215" s="32" t="s">
        <v>1487</v>
      </c>
      <c r="W1215" s="32">
        <f>VLOOKUP(N1215, 'Exchange rate- Vietnam'!$A$2:$B$65, 2, 0)</f>
        <v>18612.916666666701</v>
      </c>
      <c r="X1215" s="32">
        <f t="shared" si="77"/>
        <v>4940.6012849499584</v>
      </c>
      <c r="Y1215" s="32">
        <f>(CPI!$B$112/O1215)*X1215</f>
        <v>4940.6012849499584</v>
      </c>
      <c r="Z1215" s="38" t="s">
        <v>1609</v>
      </c>
      <c r="AA1215" s="35" t="s">
        <v>1446</v>
      </c>
      <c r="AB1215" s="32" t="s">
        <v>30</v>
      </c>
      <c r="AI1215" s="59" t="s">
        <v>2692</v>
      </c>
      <c r="AK1215" s="40" t="s">
        <v>1839</v>
      </c>
      <c r="AL1215" s="32">
        <v>2014</v>
      </c>
      <c r="AM1215" s="32" t="s">
        <v>1840</v>
      </c>
      <c r="AN1215" s="32" t="s">
        <v>1841</v>
      </c>
      <c r="AO1215" s="38" t="s">
        <v>1842</v>
      </c>
      <c r="AP1215" s="35" t="s">
        <v>396</v>
      </c>
    </row>
    <row r="1216" spans="1:42" x14ac:dyDescent="0.2">
      <c r="A1216" s="40">
        <v>121</v>
      </c>
      <c r="B1216" s="40">
        <v>1215</v>
      </c>
      <c r="C1216" s="40" t="s">
        <v>119</v>
      </c>
      <c r="D1216" s="38" t="s">
        <v>128</v>
      </c>
      <c r="E1216" s="32" t="s">
        <v>2186</v>
      </c>
      <c r="F1216" s="32" t="s">
        <v>29</v>
      </c>
      <c r="G1216" s="38" t="s">
        <v>29</v>
      </c>
      <c r="H1216" s="32" t="s">
        <v>151</v>
      </c>
      <c r="I1216" s="32" t="s">
        <v>120</v>
      </c>
      <c r="J1216" s="32" t="s">
        <v>1838</v>
      </c>
      <c r="K1216" s="32" t="s">
        <v>1513</v>
      </c>
      <c r="L1216" s="32" t="s">
        <v>30</v>
      </c>
      <c r="M1216" s="32" t="s">
        <v>30</v>
      </c>
      <c r="N1216" s="40">
        <v>2010</v>
      </c>
      <c r="O1216" s="32">
        <f>VLOOKUP(Data!N1142, CPI!$A$2:$B$112, 2, 0)</f>
        <v>304.67675000000003</v>
      </c>
      <c r="P1216" s="32" t="s">
        <v>7</v>
      </c>
      <c r="Q1216" s="32" t="s">
        <v>250</v>
      </c>
      <c r="R1216" s="32" t="s">
        <v>2663</v>
      </c>
      <c r="S1216" s="32">
        <v>51252000</v>
      </c>
      <c r="T1216" s="32" t="s">
        <v>1305</v>
      </c>
      <c r="U1216" s="32">
        <v>51252000</v>
      </c>
      <c r="V1216" s="32" t="s">
        <v>1487</v>
      </c>
      <c r="W1216" s="32">
        <f>VLOOKUP(N1216, 'Exchange rate- Vietnam'!$A$2:$B$65, 2, 0)</f>
        <v>18612.916666666701</v>
      </c>
      <c r="X1216" s="32">
        <f t="shared" si="77"/>
        <v>2753.571668420223</v>
      </c>
      <c r="Y1216" s="32">
        <f>(CPI!$B$112/O1216)*X1216</f>
        <v>2753.571668420223</v>
      </c>
      <c r="Z1216" s="38" t="s">
        <v>1609</v>
      </c>
      <c r="AA1216" s="35" t="s">
        <v>1446</v>
      </c>
      <c r="AB1216" s="32" t="s">
        <v>30</v>
      </c>
      <c r="AI1216" s="59" t="s">
        <v>2693</v>
      </c>
      <c r="AK1216" s="40" t="s">
        <v>1839</v>
      </c>
      <c r="AL1216" s="32">
        <v>2014</v>
      </c>
      <c r="AM1216" s="32" t="s">
        <v>1840</v>
      </c>
      <c r="AN1216" s="32" t="s">
        <v>1841</v>
      </c>
      <c r="AO1216" s="38" t="s">
        <v>1842</v>
      </c>
      <c r="AP1216" s="35" t="s">
        <v>396</v>
      </c>
    </row>
    <row r="1217" spans="1:42" x14ac:dyDescent="0.2">
      <c r="A1217" s="40">
        <v>121</v>
      </c>
      <c r="B1217" s="40">
        <v>1216</v>
      </c>
      <c r="C1217" s="40" t="s">
        <v>119</v>
      </c>
      <c r="D1217" s="38" t="s">
        <v>128</v>
      </c>
      <c r="E1217" s="32" t="s">
        <v>2186</v>
      </c>
      <c r="F1217" s="32" t="s">
        <v>29</v>
      </c>
      <c r="G1217" s="38" t="s">
        <v>29</v>
      </c>
      <c r="H1217" s="32" t="s">
        <v>151</v>
      </c>
      <c r="I1217" s="32" t="s">
        <v>120</v>
      </c>
      <c r="J1217" s="32" t="s">
        <v>1838</v>
      </c>
      <c r="K1217" s="32" t="s">
        <v>1513</v>
      </c>
      <c r="L1217" s="32" t="s">
        <v>30</v>
      </c>
      <c r="M1217" s="32" t="s">
        <v>30</v>
      </c>
      <c r="N1217" s="40">
        <v>2010</v>
      </c>
      <c r="O1217" s="32">
        <f>VLOOKUP(Data!N1143, CPI!$A$2:$B$112, 2, 0)</f>
        <v>304.67675000000003</v>
      </c>
      <c r="P1217" s="32" t="s">
        <v>7</v>
      </c>
      <c r="Q1217" s="32" t="s">
        <v>250</v>
      </c>
      <c r="R1217" s="32" t="s">
        <v>2664</v>
      </c>
      <c r="S1217" s="32">
        <v>25821000</v>
      </c>
      <c r="T1217" s="32" t="s">
        <v>1305</v>
      </c>
      <c r="U1217" s="32">
        <v>25821000</v>
      </c>
      <c r="V1217" s="32" t="s">
        <v>1487</v>
      </c>
      <c r="W1217" s="32">
        <f>VLOOKUP(N1217, 'Exchange rate- Vietnam'!$A$2:$B$65, 2, 0)</f>
        <v>18612.916666666701</v>
      </c>
      <c r="X1217" s="32">
        <f t="shared" si="77"/>
        <v>1387.262429764274</v>
      </c>
      <c r="Y1217" s="32">
        <f>(CPI!$B$112/O1217)*X1217</f>
        <v>1387.262429764274</v>
      </c>
      <c r="Z1217" s="38" t="s">
        <v>1609</v>
      </c>
      <c r="AA1217" s="35" t="s">
        <v>1446</v>
      </c>
      <c r="AB1217" s="32" t="s">
        <v>30</v>
      </c>
      <c r="AI1217" s="59" t="s">
        <v>2694</v>
      </c>
      <c r="AK1217" s="40" t="s">
        <v>1839</v>
      </c>
      <c r="AL1217" s="32">
        <v>2014</v>
      </c>
      <c r="AM1217" s="32" t="s">
        <v>1840</v>
      </c>
      <c r="AN1217" s="32" t="s">
        <v>1841</v>
      </c>
      <c r="AO1217" s="38" t="s">
        <v>1842</v>
      </c>
      <c r="AP1217" s="35" t="s">
        <v>396</v>
      </c>
    </row>
    <row r="1218" spans="1:42" x14ac:dyDescent="0.2">
      <c r="A1218" s="40">
        <v>121</v>
      </c>
      <c r="B1218" s="40">
        <v>1217</v>
      </c>
      <c r="C1218" s="40" t="s">
        <v>119</v>
      </c>
      <c r="D1218" s="38" t="s">
        <v>128</v>
      </c>
      <c r="E1218" s="32" t="s">
        <v>2186</v>
      </c>
      <c r="F1218" s="32" t="s">
        <v>29</v>
      </c>
      <c r="G1218" s="38" t="s">
        <v>29</v>
      </c>
      <c r="H1218" s="32" t="s">
        <v>151</v>
      </c>
      <c r="I1218" s="32" t="s">
        <v>120</v>
      </c>
      <c r="J1218" s="32" t="s">
        <v>1838</v>
      </c>
      <c r="K1218" s="32" t="s">
        <v>1513</v>
      </c>
      <c r="L1218" s="32" t="s">
        <v>30</v>
      </c>
      <c r="M1218" s="32" t="s">
        <v>30</v>
      </c>
      <c r="N1218" s="40">
        <v>2010</v>
      </c>
      <c r="O1218" s="32">
        <f>VLOOKUP(Data!N1144, CPI!$A$2:$B$112, 2, 0)</f>
        <v>304.67675000000003</v>
      </c>
      <c r="P1218" s="32" t="s">
        <v>7</v>
      </c>
      <c r="Q1218" s="32" t="s">
        <v>250</v>
      </c>
      <c r="R1218" s="32" t="s">
        <v>2665</v>
      </c>
      <c r="S1218" s="32">
        <v>47078000</v>
      </c>
      <c r="T1218" s="32" t="s">
        <v>1305</v>
      </c>
      <c r="U1218" s="32">
        <v>47078000</v>
      </c>
      <c r="V1218" s="32" t="s">
        <v>1487</v>
      </c>
      <c r="W1218" s="32">
        <f>VLOOKUP(N1218, 'Exchange rate- Vietnam'!$A$2:$B$65, 2, 0)</f>
        <v>18612.916666666701</v>
      </c>
      <c r="X1218" s="32">
        <f t="shared" si="77"/>
        <v>2529.3187974300954</v>
      </c>
      <c r="Y1218" s="32">
        <f>(CPI!$B$112/O1218)*X1218</f>
        <v>2529.3187974300954</v>
      </c>
      <c r="Z1218" s="38" t="s">
        <v>1609</v>
      </c>
      <c r="AA1218" s="35" t="s">
        <v>1446</v>
      </c>
      <c r="AB1218" s="32" t="s">
        <v>30</v>
      </c>
      <c r="AI1218" s="32" t="s">
        <v>2695</v>
      </c>
      <c r="AK1218" s="40" t="s">
        <v>1839</v>
      </c>
      <c r="AL1218" s="32">
        <v>2014</v>
      </c>
      <c r="AM1218" s="32" t="s">
        <v>1840</v>
      </c>
      <c r="AN1218" s="32" t="s">
        <v>1841</v>
      </c>
      <c r="AO1218" s="38" t="s">
        <v>1842</v>
      </c>
      <c r="AP1218" s="35" t="s">
        <v>396</v>
      </c>
    </row>
    <row r="1219" spans="1:42" x14ac:dyDescent="0.2">
      <c r="A1219" s="40">
        <v>121</v>
      </c>
      <c r="B1219" s="40">
        <v>1218</v>
      </c>
      <c r="C1219" s="40" t="s">
        <v>119</v>
      </c>
      <c r="D1219" s="38" t="s">
        <v>128</v>
      </c>
      <c r="E1219" s="32" t="s">
        <v>2186</v>
      </c>
      <c r="F1219" s="32" t="s">
        <v>29</v>
      </c>
      <c r="G1219" s="38" t="s">
        <v>29</v>
      </c>
      <c r="H1219" s="32" t="s">
        <v>151</v>
      </c>
      <c r="I1219" s="32" t="s">
        <v>120</v>
      </c>
      <c r="J1219" s="32" t="s">
        <v>1838</v>
      </c>
      <c r="K1219" s="32" t="s">
        <v>1513</v>
      </c>
      <c r="L1219" s="32" t="s">
        <v>30</v>
      </c>
      <c r="M1219" s="32" t="s">
        <v>30</v>
      </c>
      <c r="N1219" s="40">
        <v>2010</v>
      </c>
      <c r="O1219" s="32">
        <f>VLOOKUP(Data!N1145, CPI!$A$2:$B$112, 2, 0)</f>
        <v>304.67675000000003</v>
      </c>
      <c r="P1219" s="32" t="s">
        <v>7</v>
      </c>
      <c r="Q1219" s="32" t="s">
        <v>250</v>
      </c>
      <c r="R1219" s="32" t="s">
        <v>2666</v>
      </c>
      <c r="S1219" s="58">
        <v>41855000</v>
      </c>
      <c r="T1219" s="32" t="s">
        <v>1305</v>
      </c>
      <c r="U1219" s="58">
        <v>41855000</v>
      </c>
      <c r="V1219" s="32" t="s">
        <v>1487</v>
      </c>
      <c r="W1219" s="32">
        <f>VLOOKUP(N1219, 'Exchange rate- Vietnam'!$A$2:$B$65, 2, 0)</f>
        <v>18612.916666666701</v>
      </c>
      <c r="X1219" s="32">
        <f t="shared" si="77"/>
        <v>2248.7072149716778</v>
      </c>
      <c r="Y1219" s="32">
        <f>(CPI!$B$112/O1219)*X1219</f>
        <v>2248.7072149716778</v>
      </c>
      <c r="Z1219" s="38" t="s">
        <v>1609</v>
      </c>
      <c r="AA1219" s="35" t="s">
        <v>1446</v>
      </c>
      <c r="AB1219" s="32" t="s">
        <v>30</v>
      </c>
      <c r="AI1219" s="32" t="s">
        <v>2696</v>
      </c>
      <c r="AK1219" s="40" t="s">
        <v>1839</v>
      </c>
      <c r="AL1219" s="32">
        <v>2014</v>
      </c>
      <c r="AM1219" s="32" t="s">
        <v>1840</v>
      </c>
      <c r="AN1219" s="32" t="s">
        <v>1841</v>
      </c>
      <c r="AO1219" s="38" t="s">
        <v>1842</v>
      </c>
      <c r="AP1219" s="35" t="s">
        <v>396</v>
      </c>
    </row>
    <row r="1220" spans="1:42" x14ac:dyDescent="0.2">
      <c r="A1220" s="40">
        <v>121</v>
      </c>
      <c r="B1220" s="40">
        <v>1219</v>
      </c>
      <c r="C1220" s="40" t="s">
        <v>119</v>
      </c>
      <c r="D1220" s="38" t="s">
        <v>128</v>
      </c>
      <c r="E1220" s="32" t="s">
        <v>2186</v>
      </c>
      <c r="F1220" s="32" t="s">
        <v>29</v>
      </c>
      <c r="G1220" s="38" t="s">
        <v>29</v>
      </c>
      <c r="H1220" s="32" t="s">
        <v>151</v>
      </c>
      <c r="I1220" s="32" t="s">
        <v>120</v>
      </c>
      <c r="J1220" s="32" t="s">
        <v>1838</v>
      </c>
      <c r="K1220" s="32" t="s">
        <v>1513</v>
      </c>
      <c r="L1220" s="32" t="s">
        <v>30</v>
      </c>
      <c r="M1220" s="32" t="s">
        <v>30</v>
      </c>
      <c r="N1220" s="40">
        <v>2010</v>
      </c>
      <c r="O1220" s="32">
        <f>VLOOKUP(Data!N1146, CPI!$A$2:$B$112, 2, 0)</f>
        <v>304.67675000000003</v>
      </c>
      <c r="P1220" s="32" t="s">
        <v>7</v>
      </c>
      <c r="Q1220" s="32" t="s">
        <v>250</v>
      </c>
      <c r="R1220" s="32" t="s">
        <v>2667</v>
      </c>
      <c r="S1220" s="58">
        <v>36993000</v>
      </c>
      <c r="T1220" s="32" t="s">
        <v>1305</v>
      </c>
      <c r="U1220" s="58">
        <v>36993000</v>
      </c>
      <c r="V1220" s="32" t="s">
        <v>1487</v>
      </c>
      <c r="W1220" s="32">
        <f>VLOOKUP(N1220, 'Exchange rate- Vietnam'!$A$2:$B$65, 2, 0)</f>
        <v>18612.916666666701</v>
      </c>
      <c r="X1220" s="32">
        <f t="shared" si="77"/>
        <v>1987.4907658212226</v>
      </c>
      <c r="Y1220" s="32">
        <f>(CPI!$B$112/O1220)*X1220</f>
        <v>1987.4907658212226</v>
      </c>
      <c r="Z1220" s="38" t="s">
        <v>1609</v>
      </c>
      <c r="AA1220" s="35" t="s">
        <v>1446</v>
      </c>
      <c r="AB1220" s="32" t="s">
        <v>30</v>
      </c>
      <c r="AI1220" s="32" t="s">
        <v>2697</v>
      </c>
      <c r="AK1220" s="40" t="s">
        <v>1839</v>
      </c>
      <c r="AL1220" s="32">
        <v>2014</v>
      </c>
      <c r="AM1220" s="32" t="s">
        <v>1840</v>
      </c>
      <c r="AN1220" s="32" t="s">
        <v>1841</v>
      </c>
      <c r="AO1220" s="38" t="s">
        <v>1842</v>
      </c>
      <c r="AP1220" s="35" t="s">
        <v>396</v>
      </c>
    </row>
    <row r="1221" spans="1:42" x14ac:dyDescent="0.2">
      <c r="A1221" s="40">
        <v>121</v>
      </c>
      <c r="B1221" s="40">
        <v>1220</v>
      </c>
      <c r="C1221" s="40" t="s">
        <v>119</v>
      </c>
      <c r="D1221" s="38" t="s">
        <v>128</v>
      </c>
      <c r="E1221" s="32" t="s">
        <v>2186</v>
      </c>
      <c r="F1221" s="32" t="s">
        <v>29</v>
      </c>
      <c r="G1221" s="38" t="s">
        <v>29</v>
      </c>
      <c r="H1221" s="32" t="s">
        <v>151</v>
      </c>
      <c r="I1221" s="32" t="s">
        <v>120</v>
      </c>
      <c r="J1221" s="32" t="s">
        <v>1838</v>
      </c>
      <c r="K1221" s="32" t="s">
        <v>1513</v>
      </c>
      <c r="L1221" s="32" t="s">
        <v>30</v>
      </c>
      <c r="M1221" s="32" t="s">
        <v>30</v>
      </c>
      <c r="N1221" s="40">
        <v>2010</v>
      </c>
      <c r="O1221" s="32">
        <f>VLOOKUP(Data!N1147, CPI!$A$2:$B$112, 2, 0)</f>
        <v>304.67675000000003</v>
      </c>
      <c r="P1221" s="32" t="s">
        <v>7</v>
      </c>
      <c r="Q1221" s="32" t="s">
        <v>250</v>
      </c>
      <c r="R1221" s="32" t="s">
        <v>2668</v>
      </c>
      <c r="S1221" s="58">
        <v>84736000</v>
      </c>
      <c r="T1221" s="32" t="s">
        <v>1305</v>
      </c>
      <c r="U1221" s="58">
        <v>84736000</v>
      </c>
      <c r="V1221" s="32" t="s">
        <v>1487</v>
      </c>
      <c r="W1221" s="32">
        <f>VLOOKUP(N1221, 'Exchange rate- Vietnam'!$A$2:$B$65, 2, 0)</f>
        <v>18612.916666666701</v>
      </c>
      <c r="X1221" s="32">
        <f t="shared" si="77"/>
        <v>4552.5374403975648</v>
      </c>
      <c r="Y1221" s="32">
        <f>(CPI!$B$112/O1221)*X1221</f>
        <v>4552.5374403975648</v>
      </c>
      <c r="Z1221" s="38" t="s">
        <v>1609</v>
      </c>
      <c r="AA1221" s="35" t="s">
        <v>1446</v>
      </c>
      <c r="AB1221" s="32" t="s">
        <v>30</v>
      </c>
      <c r="AI1221" s="32" t="s">
        <v>2698</v>
      </c>
      <c r="AK1221" s="40" t="s">
        <v>1839</v>
      </c>
      <c r="AL1221" s="32">
        <v>2014</v>
      </c>
      <c r="AM1221" s="32" t="s">
        <v>1840</v>
      </c>
      <c r="AN1221" s="32" t="s">
        <v>1841</v>
      </c>
      <c r="AO1221" s="38" t="s">
        <v>1842</v>
      </c>
      <c r="AP1221" s="35" t="s">
        <v>396</v>
      </c>
    </row>
    <row r="1222" spans="1:42" x14ac:dyDescent="0.2">
      <c r="A1222" s="40">
        <v>121</v>
      </c>
      <c r="B1222" s="40">
        <v>1221</v>
      </c>
      <c r="C1222" s="40" t="s">
        <v>119</v>
      </c>
      <c r="D1222" s="38" t="s">
        <v>128</v>
      </c>
      <c r="E1222" s="32" t="s">
        <v>2186</v>
      </c>
      <c r="F1222" s="32" t="s">
        <v>29</v>
      </c>
      <c r="G1222" s="38" t="s">
        <v>29</v>
      </c>
      <c r="H1222" s="32" t="s">
        <v>151</v>
      </c>
      <c r="I1222" s="32" t="s">
        <v>120</v>
      </c>
      <c r="J1222" s="32" t="s">
        <v>1838</v>
      </c>
      <c r="K1222" s="32" t="s">
        <v>1513</v>
      </c>
      <c r="L1222" s="32" t="s">
        <v>30</v>
      </c>
      <c r="M1222" s="32" t="s">
        <v>30</v>
      </c>
      <c r="N1222" s="40">
        <v>2010</v>
      </c>
      <c r="O1222" s="32">
        <f>VLOOKUP(Data!N1148, CPI!$A$2:$B$112, 2, 0)</f>
        <v>304.67675000000003</v>
      </c>
      <c r="P1222" s="32" t="s">
        <v>7</v>
      </c>
      <c r="Q1222" s="32" t="s">
        <v>250</v>
      </c>
      <c r="R1222" s="32" t="s">
        <v>2669</v>
      </c>
      <c r="S1222" s="58">
        <v>45409000</v>
      </c>
      <c r="T1222" s="32" t="s">
        <v>1305</v>
      </c>
      <c r="U1222" s="58">
        <v>45409000</v>
      </c>
      <c r="V1222" s="32" t="s">
        <v>1487</v>
      </c>
      <c r="W1222" s="32">
        <f>VLOOKUP(N1222, 'Exchange rate- Vietnam'!$A$2:$B$65, 2, 0)</f>
        <v>18612.916666666701</v>
      </c>
      <c r="X1222" s="32">
        <f t="shared" si="77"/>
        <v>2439.6498847126727</v>
      </c>
      <c r="Y1222" s="32">
        <f>(CPI!$B$112/O1222)*X1222</f>
        <v>2439.6498847126727</v>
      </c>
      <c r="Z1222" s="38" t="s">
        <v>1609</v>
      </c>
      <c r="AA1222" s="35" t="s">
        <v>1446</v>
      </c>
      <c r="AB1222" s="32" t="s">
        <v>30</v>
      </c>
      <c r="AI1222" s="32" t="s">
        <v>2699</v>
      </c>
      <c r="AK1222" s="40" t="s">
        <v>1839</v>
      </c>
      <c r="AL1222" s="32">
        <v>2014</v>
      </c>
      <c r="AM1222" s="32" t="s">
        <v>1840</v>
      </c>
      <c r="AN1222" s="32" t="s">
        <v>1841</v>
      </c>
      <c r="AO1222" s="38" t="s">
        <v>1842</v>
      </c>
      <c r="AP1222" s="35" t="s">
        <v>396</v>
      </c>
    </row>
    <row r="1223" spans="1:42" x14ac:dyDescent="0.2">
      <c r="A1223" s="40">
        <v>121</v>
      </c>
      <c r="B1223" s="40">
        <v>1222</v>
      </c>
      <c r="C1223" s="40" t="s">
        <v>119</v>
      </c>
      <c r="D1223" s="38" t="s">
        <v>128</v>
      </c>
      <c r="E1223" s="32" t="s">
        <v>2186</v>
      </c>
      <c r="F1223" s="32" t="s">
        <v>29</v>
      </c>
      <c r="G1223" s="38" t="s">
        <v>29</v>
      </c>
      <c r="H1223" s="32" t="s">
        <v>151</v>
      </c>
      <c r="I1223" s="32" t="s">
        <v>120</v>
      </c>
      <c r="J1223" s="32" t="s">
        <v>1838</v>
      </c>
      <c r="K1223" s="32" t="s">
        <v>1513</v>
      </c>
      <c r="L1223" s="32" t="s">
        <v>30</v>
      </c>
      <c r="M1223" s="32" t="s">
        <v>30</v>
      </c>
      <c r="N1223" s="40">
        <v>2010</v>
      </c>
      <c r="O1223" s="32">
        <f>VLOOKUP(Data!N1149, CPI!$A$2:$B$112, 2, 0)</f>
        <v>304.67675000000003</v>
      </c>
      <c r="P1223" s="32" t="s">
        <v>7</v>
      </c>
      <c r="Q1223" s="32" t="s">
        <v>250</v>
      </c>
      <c r="R1223" s="32" t="s">
        <v>2670</v>
      </c>
      <c r="S1223" s="58">
        <v>21313000</v>
      </c>
      <c r="T1223" s="32" t="s">
        <v>1305</v>
      </c>
      <c r="U1223" s="58">
        <v>21313000</v>
      </c>
      <c r="V1223" s="32" t="s">
        <v>1487</v>
      </c>
      <c r="W1223" s="32">
        <f>VLOOKUP(N1223, 'Exchange rate- Vietnam'!$A$2:$B$65, 2, 0)</f>
        <v>18612.916666666701</v>
      </c>
      <c r="X1223" s="32">
        <f t="shared" si="77"/>
        <v>1145.0650310044527</v>
      </c>
      <c r="Y1223" s="32">
        <f>(CPI!$B$112/O1223)*X1223</f>
        <v>1145.0650310044527</v>
      </c>
      <c r="Z1223" s="38" t="s">
        <v>1609</v>
      </c>
      <c r="AA1223" s="35" t="s">
        <v>1446</v>
      </c>
      <c r="AB1223" s="32" t="s">
        <v>30</v>
      </c>
      <c r="AI1223" s="32" t="s">
        <v>2700</v>
      </c>
      <c r="AK1223" s="40" t="s">
        <v>1839</v>
      </c>
      <c r="AL1223" s="32">
        <v>2014</v>
      </c>
      <c r="AM1223" s="32" t="s">
        <v>1840</v>
      </c>
      <c r="AN1223" s="32" t="s">
        <v>1841</v>
      </c>
      <c r="AO1223" s="38" t="s">
        <v>1842</v>
      </c>
      <c r="AP1223" s="35" t="s">
        <v>396</v>
      </c>
    </row>
    <row r="1224" spans="1:42" x14ac:dyDescent="0.2">
      <c r="A1224" s="40">
        <v>121</v>
      </c>
      <c r="B1224" s="40">
        <v>1223</v>
      </c>
      <c r="C1224" s="40" t="s">
        <v>119</v>
      </c>
      <c r="D1224" s="38" t="s">
        <v>128</v>
      </c>
      <c r="E1224" s="32" t="s">
        <v>2186</v>
      </c>
      <c r="F1224" s="32" t="s">
        <v>29</v>
      </c>
      <c r="G1224" s="38" t="s">
        <v>29</v>
      </c>
      <c r="H1224" s="32" t="s">
        <v>151</v>
      </c>
      <c r="I1224" s="32" t="s">
        <v>120</v>
      </c>
      <c r="J1224" s="32" t="s">
        <v>1838</v>
      </c>
      <c r="K1224" s="32" t="s">
        <v>1513</v>
      </c>
      <c r="L1224" s="32" t="s">
        <v>30</v>
      </c>
      <c r="M1224" s="32" t="s">
        <v>30</v>
      </c>
      <c r="N1224" s="40">
        <v>2010</v>
      </c>
      <c r="O1224" s="32">
        <f>VLOOKUP(Data!N1150, CPI!$A$2:$B$112, 2, 0)</f>
        <v>304.67675000000003</v>
      </c>
      <c r="P1224" s="32" t="s">
        <v>7</v>
      </c>
      <c r="Q1224" s="32" t="s">
        <v>250</v>
      </c>
      <c r="R1224" s="32" t="s">
        <v>2671</v>
      </c>
      <c r="S1224" s="58">
        <v>59073000</v>
      </c>
      <c r="T1224" s="32" t="s">
        <v>1305</v>
      </c>
      <c r="U1224" s="58">
        <v>59073000</v>
      </c>
      <c r="V1224" s="32" t="s">
        <v>1487</v>
      </c>
      <c r="W1224" s="32">
        <f>VLOOKUP(N1224, 'Exchange rate- Vietnam'!$A$2:$B$65, 2, 0)</f>
        <v>18612.916666666701</v>
      </c>
      <c r="X1224" s="32">
        <f t="shared" si="77"/>
        <v>3173.7637393387149</v>
      </c>
      <c r="Y1224" s="32">
        <f>(CPI!$B$112/O1224)*X1224</f>
        <v>3173.7637393387149</v>
      </c>
      <c r="Z1224" s="38" t="s">
        <v>1609</v>
      </c>
      <c r="AA1224" s="35" t="s">
        <v>1446</v>
      </c>
      <c r="AB1224" s="32" t="s">
        <v>30</v>
      </c>
      <c r="AI1224" s="32" t="s">
        <v>2701</v>
      </c>
      <c r="AK1224" s="40" t="s">
        <v>1839</v>
      </c>
      <c r="AL1224" s="32">
        <v>2014</v>
      </c>
      <c r="AM1224" s="32" t="s">
        <v>1840</v>
      </c>
      <c r="AN1224" s="32" t="s">
        <v>1841</v>
      </c>
      <c r="AO1224" s="38" t="s">
        <v>1842</v>
      </c>
      <c r="AP1224" s="35" t="s">
        <v>396</v>
      </c>
    </row>
    <row r="1225" spans="1:42" x14ac:dyDescent="0.2">
      <c r="A1225" s="40">
        <v>121</v>
      </c>
      <c r="B1225" s="40">
        <v>1224</v>
      </c>
      <c r="C1225" s="40" t="s">
        <v>119</v>
      </c>
      <c r="D1225" s="38" t="s">
        <v>128</v>
      </c>
      <c r="E1225" s="32" t="s">
        <v>2186</v>
      </c>
      <c r="F1225" s="32" t="s">
        <v>29</v>
      </c>
      <c r="G1225" s="38" t="s">
        <v>29</v>
      </c>
      <c r="H1225" s="32" t="s">
        <v>151</v>
      </c>
      <c r="I1225" s="32" t="s">
        <v>120</v>
      </c>
      <c r="J1225" s="32" t="s">
        <v>1838</v>
      </c>
      <c r="K1225" s="32" t="s">
        <v>1513</v>
      </c>
      <c r="L1225" s="32" t="s">
        <v>30</v>
      </c>
      <c r="M1225" s="32" t="s">
        <v>30</v>
      </c>
      <c r="N1225" s="40">
        <v>2010</v>
      </c>
      <c r="O1225" s="32">
        <f>VLOOKUP(Data!N1151, CPI!$A$2:$B$112, 2, 0)</f>
        <v>304.67675000000003</v>
      </c>
      <c r="P1225" s="32" t="s">
        <v>7</v>
      </c>
      <c r="Q1225" s="32" t="s">
        <v>250</v>
      </c>
      <c r="R1225" s="32" t="s">
        <v>2672</v>
      </c>
      <c r="S1225" s="58">
        <v>52962000</v>
      </c>
      <c r="T1225" s="32" t="s">
        <v>1305</v>
      </c>
      <c r="U1225" s="58">
        <v>52962000</v>
      </c>
      <c r="V1225" s="32" t="s">
        <v>1487</v>
      </c>
      <c r="W1225" s="32">
        <f>VLOOKUP(N1225, 'Exchange rate- Vietnam'!$A$2:$B$65, 2, 0)</f>
        <v>18612.916666666701</v>
      </c>
      <c r="X1225" s="32">
        <f t="shared" si="77"/>
        <v>2845.4433525105724</v>
      </c>
      <c r="Y1225" s="32">
        <f>(CPI!$B$112/O1225)*X1225</f>
        <v>2845.4433525105724</v>
      </c>
      <c r="Z1225" s="38" t="s">
        <v>1609</v>
      </c>
      <c r="AA1225" s="35" t="s">
        <v>1446</v>
      </c>
      <c r="AB1225" s="32" t="s">
        <v>30</v>
      </c>
      <c r="AI1225" s="32" t="s">
        <v>2702</v>
      </c>
      <c r="AK1225" s="40" t="s">
        <v>1839</v>
      </c>
      <c r="AL1225" s="32">
        <v>2014</v>
      </c>
      <c r="AM1225" s="32" t="s">
        <v>1840</v>
      </c>
      <c r="AN1225" s="32" t="s">
        <v>1841</v>
      </c>
      <c r="AO1225" s="38" t="s">
        <v>1842</v>
      </c>
      <c r="AP1225" s="35" t="s">
        <v>396</v>
      </c>
    </row>
    <row r="1226" spans="1:42" x14ac:dyDescent="0.2">
      <c r="A1226" s="40">
        <v>121</v>
      </c>
      <c r="B1226" s="40">
        <v>1225</v>
      </c>
      <c r="C1226" s="40" t="s">
        <v>119</v>
      </c>
      <c r="D1226" s="38" t="s">
        <v>128</v>
      </c>
      <c r="E1226" s="32" t="s">
        <v>2186</v>
      </c>
      <c r="F1226" s="32" t="s">
        <v>29</v>
      </c>
      <c r="G1226" s="38" t="s">
        <v>29</v>
      </c>
      <c r="H1226" s="32" t="s">
        <v>151</v>
      </c>
      <c r="I1226" s="32" t="s">
        <v>120</v>
      </c>
      <c r="J1226" s="32" t="s">
        <v>1838</v>
      </c>
      <c r="K1226" s="32" t="s">
        <v>1513</v>
      </c>
      <c r="L1226" s="32" t="s">
        <v>30</v>
      </c>
      <c r="M1226" s="32" t="s">
        <v>30</v>
      </c>
      <c r="N1226" s="40">
        <v>2010</v>
      </c>
      <c r="O1226" s="32">
        <f>VLOOKUP(Data!N1152, CPI!$A$2:$B$112, 2, 0)</f>
        <v>304.67675000000003</v>
      </c>
      <c r="P1226" s="32" t="s">
        <v>7</v>
      </c>
      <c r="Q1226" s="32" t="s">
        <v>250</v>
      </c>
      <c r="R1226" s="32" t="s">
        <v>2673</v>
      </c>
      <c r="S1226" s="58">
        <v>47292000</v>
      </c>
      <c r="T1226" s="32" t="s">
        <v>1305</v>
      </c>
      <c r="U1226" s="58">
        <v>47292000</v>
      </c>
      <c r="V1226" s="32" t="s">
        <v>1487</v>
      </c>
      <c r="W1226" s="32">
        <f>VLOOKUP(N1226, 'Exchange rate- Vietnam'!$A$2:$B$65, 2, 0)</f>
        <v>18612.916666666701</v>
      </c>
      <c r="X1226" s="32">
        <f t="shared" si="77"/>
        <v>2540.8161894741506</v>
      </c>
      <c r="Y1226" s="32">
        <f>(CPI!$B$112/O1226)*X1226</f>
        <v>2540.8161894741506</v>
      </c>
      <c r="Z1226" s="38" t="s">
        <v>1609</v>
      </c>
      <c r="AA1226" s="35" t="s">
        <v>1446</v>
      </c>
      <c r="AB1226" s="32" t="s">
        <v>30</v>
      </c>
      <c r="AI1226" s="32" t="s">
        <v>2703</v>
      </c>
      <c r="AK1226" s="40" t="s">
        <v>1839</v>
      </c>
      <c r="AL1226" s="32">
        <v>2014</v>
      </c>
      <c r="AM1226" s="32" t="s">
        <v>1840</v>
      </c>
      <c r="AN1226" s="32" t="s">
        <v>1841</v>
      </c>
      <c r="AO1226" s="38" t="s">
        <v>1842</v>
      </c>
      <c r="AP1226" s="35" t="s">
        <v>396</v>
      </c>
    </row>
    <row r="1227" spans="1:42" x14ac:dyDescent="0.2">
      <c r="A1227" s="40">
        <v>121</v>
      </c>
      <c r="B1227" s="40">
        <v>1226</v>
      </c>
      <c r="C1227" s="40" t="s">
        <v>119</v>
      </c>
      <c r="D1227" s="38" t="s">
        <v>128</v>
      </c>
      <c r="E1227" s="32" t="s">
        <v>2186</v>
      </c>
      <c r="F1227" s="32" t="s">
        <v>29</v>
      </c>
      <c r="G1227" s="38" t="s">
        <v>29</v>
      </c>
      <c r="H1227" s="32" t="s">
        <v>151</v>
      </c>
      <c r="I1227" s="32" t="s">
        <v>120</v>
      </c>
      <c r="J1227" s="32" t="s">
        <v>1838</v>
      </c>
      <c r="K1227" s="32" t="s">
        <v>1513</v>
      </c>
      <c r="L1227" s="32" t="s">
        <v>30</v>
      </c>
      <c r="M1227" s="32" t="s">
        <v>30</v>
      </c>
      <c r="N1227" s="40">
        <v>2010</v>
      </c>
      <c r="O1227" s="32">
        <f>VLOOKUP(Data!N1153, CPI!$A$2:$B$112, 2, 0)</f>
        <v>304.67675000000003</v>
      </c>
      <c r="P1227" s="32" t="s">
        <v>7</v>
      </c>
      <c r="Q1227" s="32" t="s">
        <v>250</v>
      </c>
      <c r="R1227" s="32" t="s">
        <v>2674</v>
      </c>
      <c r="S1227" s="58">
        <v>106191000</v>
      </c>
      <c r="T1227" s="32" t="s">
        <v>1305</v>
      </c>
      <c r="U1227" s="58">
        <v>106191000</v>
      </c>
      <c r="V1227" s="32" t="s">
        <v>1487</v>
      </c>
      <c r="W1227" s="32">
        <f>VLOOKUP(N1227, 'Exchange rate- Vietnam'!$A$2:$B$65, 2, 0)</f>
        <v>18612.916666666701</v>
      </c>
      <c r="X1227" s="32">
        <f t="shared" si="77"/>
        <v>5705.2315820106896</v>
      </c>
      <c r="Y1227" s="32">
        <f>(CPI!$B$112/O1227)*X1227</f>
        <v>5705.2315820106896</v>
      </c>
      <c r="Z1227" s="38" t="s">
        <v>1609</v>
      </c>
      <c r="AA1227" s="35" t="s">
        <v>1446</v>
      </c>
      <c r="AB1227" s="32" t="s">
        <v>30</v>
      </c>
      <c r="AI1227" s="32" t="s">
        <v>2704</v>
      </c>
      <c r="AK1227" s="40" t="s">
        <v>1839</v>
      </c>
      <c r="AL1227" s="32">
        <v>2014</v>
      </c>
      <c r="AM1227" s="32" t="s">
        <v>1840</v>
      </c>
      <c r="AN1227" s="32" t="s">
        <v>1841</v>
      </c>
      <c r="AO1227" s="38" t="s">
        <v>1842</v>
      </c>
      <c r="AP1227" s="35" t="s">
        <v>396</v>
      </c>
    </row>
    <row r="1228" spans="1:42" x14ac:dyDescent="0.2">
      <c r="A1228" s="40">
        <v>121</v>
      </c>
      <c r="B1228" s="40">
        <v>1227</v>
      </c>
      <c r="C1228" s="40" t="s">
        <v>119</v>
      </c>
      <c r="D1228" s="38" t="s">
        <v>128</v>
      </c>
      <c r="E1228" s="32" t="s">
        <v>2186</v>
      </c>
      <c r="F1228" s="32" t="s">
        <v>29</v>
      </c>
      <c r="G1228" s="38" t="s">
        <v>29</v>
      </c>
      <c r="H1228" s="32" t="s">
        <v>151</v>
      </c>
      <c r="I1228" s="32" t="s">
        <v>120</v>
      </c>
      <c r="J1228" s="32" t="s">
        <v>1838</v>
      </c>
      <c r="K1228" s="32" t="s">
        <v>1513</v>
      </c>
      <c r="L1228" s="32" t="s">
        <v>30</v>
      </c>
      <c r="M1228" s="32" t="s">
        <v>30</v>
      </c>
      <c r="N1228" s="40">
        <v>2010</v>
      </c>
      <c r="O1228" s="32">
        <f>VLOOKUP(Data!N1154, CPI!$A$2:$B$112, 2, 0)</f>
        <v>304.67675000000003</v>
      </c>
      <c r="P1228" s="32" t="s">
        <v>7</v>
      </c>
      <c r="Q1228" s="32" t="s">
        <v>250</v>
      </c>
      <c r="R1228" s="32" t="s">
        <v>2675</v>
      </c>
      <c r="S1228" s="58">
        <v>58698000</v>
      </c>
      <c r="T1228" s="32" t="s">
        <v>1305</v>
      </c>
      <c r="U1228" s="58">
        <v>58698000</v>
      </c>
      <c r="V1228" s="32" t="s">
        <v>1487</v>
      </c>
      <c r="W1228" s="32">
        <f>VLOOKUP(N1228, 'Exchange rate- Vietnam'!$A$2:$B$65, 2, 0)</f>
        <v>18612.916666666701</v>
      </c>
      <c r="X1228" s="32">
        <f t="shared" si="77"/>
        <v>3153.6164401960946</v>
      </c>
      <c r="Y1228" s="32">
        <f>(CPI!$B$112/O1228)*X1228</f>
        <v>3153.6164401960946</v>
      </c>
      <c r="Z1228" s="38" t="s">
        <v>1609</v>
      </c>
      <c r="AA1228" s="35" t="s">
        <v>1446</v>
      </c>
      <c r="AB1228" s="32" t="s">
        <v>30</v>
      </c>
      <c r="AI1228" s="32" t="s">
        <v>2705</v>
      </c>
      <c r="AK1228" s="40" t="s">
        <v>1839</v>
      </c>
      <c r="AL1228" s="32">
        <v>2014</v>
      </c>
      <c r="AM1228" s="32" t="s">
        <v>1840</v>
      </c>
      <c r="AN1228" s="32" t="s">
        <v>1841</v>
      </c>
      <c r="AO1228" s="38" t="s">
        <v>1842</v>
      </c>
      <c r="AP1228" s="35" t="s">
        <v>396</v>
      </c>
    </row>
    <row r="1229" spans="1:42" x14ac:dyDescent="0.2">
      <c r="A1229" s="40">
        <v>121</v>
      </c>
      <c r="B1229" s="40">
        <v>1228</v>
      </c>
      <c r="C1229" s="40" t="s">
        <v>119</v>
      </c>
      <c r="D1229" s="38" t="s">
        <v>128</v>
      </c>
      <c r="E1229" s="32" t="s">
        <v>2186</v>
      </c>
      <c r="F1229" s="32" t="s">
        <v>29</v>
      </c>
      <c r="G1229" s="38" t="s">
        <v>29</v>
      </c>
      <c r="H1229" s="32" t="s">
        <v>151</v>
      </c>
      <c r="I1229" s="32" t="s">
        <v>120</v>
      </c>
      <c r="J1229" s="32" t="s">
        <v>1838</v>
      </c>
      <c r="K1229" s="32" t="s">
        <v>1513</v>
      </c>
      <c r="L1229" s="32" t="s">
        <v>30</v>
      </c>
      <c r="M1229" s="32" t="s">
        <v>30</v>
      </c>
      <c r="N1229" s="40">
        <v>2010</v>
      </c>
      <c r="O1229" s="32">
        <f>VLOOKUP(Data!N1155, CPI!$A$2:$B$112, 2, 0)</f>
        <v>304.67675000000003</v>
      </c>
      <c r="P1229" s="32" t="s">
        <v>7</v>
      </c>
      <c r="Q1229" s="32" t="s">
        <v>250</v>
      </c>
      <c r="R1229" s="32" t="s">
        <v>2676</v>
      </c>
      <c r="S1229" s="58">
        <v>29604000</v>
      </c>
      <c r="T1229" s="32" t="s">
        <v>1305</v>
      </c>
      <c r="U1229" s="58">
        <v>29604000</v>
      </c>
      <c r="V1229" s="32" t="s">
        <v>1487</v>
      </c>
      <c r="W1229" s="32">
        <f>VLOOKUP(N1229, 'Exchange rate- Vietnam'!$A$2:$B$65, 2, 0)</f>
        <v>18612.916666666701</v>
      </c>
      <c r="X1229" s="32">
        <f t="shared" si="77"/>
        <v>1590.5083835150292</v>
      </c>
      <c r="Y1229" s="32">
        <f>(CPI!$B$112/O1229)*X1229</f>
        <v>1590.5083835150292</v>
      </c>
      <c r="Z1229" s="38" t="s">
        <v>1609</v>
      </c>
      <c r="AA1229" s="35" t="s">
        <v>1446</v>
      </c>
      <c r="AB1229" s="32" t="s">
        <v>30</v>
      </c>
      <c r="AI1229" s="32" t="s">
        <v>2706</v>
      </c>
      <c r="AK1229" s="40" t="s">
        <v>1839</v>
      </c>
      <c r="AL1229" s="32">
        <v>2014</v>
      </c>
      <c r="AM1229" s="32" t="s">
        <v>1840</v>
      </c>
      <c r="AN1229" s="32" t="s">
        <v>1841</v>
      </c>
      <c r="AO1229" s="38" t="s">
        <v>1842</v>
      </c>
      <c r="AP1229" s="35" t="s">
        <v>396</v>
      </c>
    </row>
    <row r="1230" spans="1:42" x14ac:dyDescent="0.2">
      <c r="A1230" s="40">
        <v>121</v>
      </c>
      <c r="B1230" s="40">
        <v>1229</v>
      </c>
      <c r="C1230" s="40" t="s">
        <v>119</v>
      </c>
      <c r="D1230" s="38" t="s">
        <v>128</v>
      </c>
      <c r="E1230" s="32" t="s">
        <v>2186</v>
      </c>
      <c r="F1230" s="32" t="s">
        <v>29</v>
      </c>
      <c r="G1230" s="38" t="s">
        <v>29</v>
      </c>
      <c r="H1230" s="32" t="s">
        <v>151</v>
      </c>
      <c r="I1230" s="32" t="s">
        <v>120</v>
      </c>
      <c r="J1230" s="32" t="s">
        <v>1838</v>
      </c>
      <c r="K1230" s="32" t="s">
        <v>1513</v>
      </c>
      <c r="L1230" s="32" t="s">
        <v>30</v>
      </c>
      <c r="M1230" s="32" t="s">
        <v>30</v>
      </c>
      <c r="N1230" s="40">
        <v>2010</v>
      </c>
      <c r="O1230" s="32">
        <f>VLOOKUP(Data!N1156, CPI!$A$2:$B$112, 2, 0)</f>
        <v>304.67675000000003</v>
      </c>
      <c r="P1230" s="32" t="s">
        <v>7</v>
      </c>
      <c r="Q1230" s="32" t="s">
        <v>250</v>
      </c>
      <c r="R1230" s="32" t="s">
        <v>2677</v>
      </c>
      <c r="S1230" s="58">
        <v>35084000</v>
      </c>
      <c r="T1230" s="32" t="s">
        <v>1305</v>
      </c>
      <c r="U1230" s="58">
        <v>35084000</v>
      </c>
      <c r="V1230" s="32" t="s">
        <v>1487</v>
      </c>
      <c r="W1230" s="32">
        <f>VLOOKUP(N1230, 'Exchange rate- Vietnam'!$A$2:$B$65, 2, 0)</f>
        <v>18612.916666666701</v>
      </c>
      <c r="X1230" s="32">
        <f t="shared" si="77"/>
        <v>1884.9275816525228</v>
      </c>
      <c r="Y1230" s="32">
        <f>(CPI!$B$112/O1230)*X1230</f>
        <v>1884.9275816525228</v>
      </c>
      <c r="Z1230" s="38" t="s">
        <v>1609</v>
      </c>
      <c r="AA1230" s="35" t="s">
        <v>1446</v>
      </c>
      <c r="AB1230" s="32" t="s">
        <v>30</v>
      </c>
      <c r="AI1230" s="32" t="s">
        <v>2707</v>
      </c>
      <c r="AK1230" s="40" t="s">
        <v>1839</v>
      </c>
      <c r="AL1230" s="32">
        <v>2014</v>
      </c>
      <c r="AM1230" s="32" t="s">
        <v>1840</v>
      </c>
      <c r="AN1230" s="32" t="s">
        <v>1841</v>
      </c>
      <c r="AO1230" s="38" t="s">
        <v>1842</v>
      </c>
      <c r="AP1230" s="35" t="s">
        <v>396</v>
      </c>
    </row>
    <row r="1231" spans="1:42" x14ac:dyDescent="0.2">
      <c r="A1231" s="40">
        <v>121</v>
      </c>
      <c r="B1231" s="40">
        <v>1230</v>
      </c>
      <c r="C1231" s="40" t="s">
        <v>119</v>
      </c>
      <c r="D1231" s="38" t="s">
        <v>128</v>
      </c>
      <c r="E1231" s="32" t="s">
        <v>2186</v>
      </c>
      <c r="F1231" s="32" t="s">
        <v>29</v>
      </c>
      <c r="G1231" s="38" t="s">
        <v>29</v>
      </c>
      <c r="H1231" s="32" t="s">
        <v>151</v>
      </c>
      <c r="I1231" s="32" t="s">
        <v>120</v>
      </c>
      <c r="J1231" s="32" t="s">
        <v>1838</v>
      </c>
      <c r="K1231" s="32" t="s">
        <v>1513</v>
      </c>
      <c r="L1231" s="32" t="s">
        <v>30</v>
      </c>
      <c r="M1231" s="32" t="s">
        <v>30</v>
      </c>
      <c r="N1231" s="40">
        <v>2010</v>
      </c>
      <c r="O1231" s="32">
        <f>VLOOKUP(Data!N1157, CPI!$A$2:$B$112, 2, 0)</f>
        <v>304.67675000000003</v>
      </c>
      <c r="P1231" s="32" t="s">
        <v>7</v>
      </c>
      <c r="Q1231" s="32" t="s">
        <v>250</v>
      </c>
      <c r="R1231" s="32" t="s">
        <v>2678</v>
      </c>
      <c r="S1231" s="58">
        <v>30749000</v>
      </c>
      <c r="T1231" s="32" t="s">
        <v>1305</v>
      </c>
      <c r="U1231" s="58">
        <v>30749000</v>
      </c>
      <c r="V1231" s="32" t="s">
        <v>1487</v>
      </c>
      <c r="W1231" s="32">
        <f>VLOOKUP(N1231, 'Exchange rate- Vietnam'!$A$2:$B$65, 2, 0)</f>
        <v>18612.916666666701</v>
      </c>
      <c r="X1231" s="32">
        <f t="shared" si="77"/>
        <v>1652.0248035638303</v>
      </c>
      <c r="Y1231" s="32">
        <f>(CPI!$B$112/O1231)*X1231</f>
        <v>1652.0248035638303</v>
      </c>
      <c r="Z1231" s="38" t="s">
        <v>1609</v>
      </c>
      <c r="AA1231" s="35" t="s">
        <v>1446</v>
      </c>
      <c r="AB1231" s="32" t="s">
        <v>30</v>
      </c>
      <c r="AI1231" s="32" t="s">
        <v>2708</v>
      </c>
      <c r="AK1231" s="40" t="s">
        <v>1839</v>
      </c>
      <c r="AL1231" s="32">
        <v>2014</v>
      </c>
      <c r="AM1231" s="32" t="s">
        <v>1840</v>
      </c>
      <c r="AN1231" s="32" t="s">
        <v>1841</v>
      </c>
      <c r="AO1231" s="38" t="s">
        <v>1842</v>
      </c>
      <c r="AP1231" s="35" t="s">
        <v>396</v>
      </c>
    </row>
    <row r="1232" spans="1:42" x14ac:dyDescent="0.2">
      <c r="A1232" s="40">
        <v>121</v>
      </c>
      <c r="B1232" s="40">
        <v>1231</v>
      </c>
      <c r="C1232" s="40" t="s">
        <v>119</v>
      </c>
      <c r="D1232" s="38" t="s">
        <v>128</v>
      </c>
      <c r="E1232" s="32" t="s">
        <v>2186</v>
      </c>
      <c r="F1232" s="32" t="s">
        <v>29</v>
      </c>
      <c r="G1232" s="38" t="s">
        <v>29</v>
      </c>
      <c r="H1232" s="32" t="s">
        <v>151</v>
      </c>
      <c r="I1232" s="32" t="s">
        <v>120</v>
      </c>
      <c r="J1232" s="32" t="s">
        <v>1838</v>
      </c>
      <c r="K1232" s="32" t="s">
        <v>1513</v>
      </c>
      <c r="L1232" s="32" t="s">
        <v>30</v>
      </c>
      <c r="M1232" s="32" t="s">
        <v>30</v>
      </c>
      <c r="N1232" s="40">
        <v>2010</v>
      </c>
      <c r="O1232" s="32">
        <f>VLOOKUP(Data!N1158, CPI!$A$2:$B$112, 2, 0)</f>
        <v>304.67675000000003</v>
      </c>
      <c r="P1232" s="32" t="s">
        <v>7</v>
      </c>
      <c r="Q1232" s="32" t="s">
        <v>250</v>
      </c>
      <c r="R1232" s="32" t="s">
        <v>2679</v>
      </c>
      <c r="S1232" s="58">
        <v>26694000</v>
      </c>
      <c r="T1232" s="32" t="s">
        <v>1305</v>
      </c>
      <c r="U1232" s="58">
        <v>26694000</v>
      </c>
      <c r="V1232" s="32" t="s">
        <v>1487</v>
      </c>
      <c r="W1232" s="32">
        <f>VLOOKUP(N1232, 'Exchange rate- Vietnam'!$A$2:$B$65, 2, 0)</f>
        <v>18612.916666666701</v>
      </c>
      <c r="X1232" s="32">
        <f t="shared" si="77"/>
        <v>1434.1653421682945</v>
      </c>
      <c r="Y1232" s="32">
        <f>(CPI!$B$112/O1232)*X1232</f>
        <v>1434.1653421682945</v>
      </c>
      <c r="Z1232" s="38" t="s">
        <v>1609</v>
      </c>
      <c r="AA1232" s="35" t="s">
        <v>1446</v>
      </c>
      <c r="AB1232" s="32" t="s">
        <v>30</v>
      </c>
      <c r="AI1232" s="32" t="s">
        <v>2709</v>
      </c>
      <c r="AK1232" s="40" t="s">
        <v>1839</v>
      </c>
      <c r="AL1232" s="32">
        <v>2014</v>
      </c>
      <c r="AM1232" s="32" t="s">
        <v>1840</v>
      </c>
      <c r="AN1232" s="32" t="s">
        <v>1841</v>
      </c>
      <c r="AO1232" s="38" t="s">
        <v>1842</v>
      </c>
      <c r="AP1232" s="35" t="s">
        <v>396</v>
      </c>
    </row>
    <row r="1233" spans="1:42" x14ac:dyDescent="0.2">
      <c r="A1233" s="40">
        <v>121</v>
      </c>
      <c r="B1233" s="40">
        <v>1232</v>
      </c>
      <c r="C1233" s="40" t="s">
        <v>119</v>
      </c>
      <c r="D1233" s="38" t="s">
        <v>128</v>
      </c>
      <c r="E1233" s="32" t="s">
        <v>2186</v>
      </c>
      <c r="F1233" s="32" t="s">
        <v>29</v>
      </c>
      <c r="G1233" s="38" t="s">
        <v>29</v>
      </c>
      <c r="H1233" s="32" t="s">
        <v>151</v>
      </c>
      <c r="I1233" s="32" t="s">
        <v>120</v>
      </c>
      <c r="J1233" s="32" t="s">
        <v>1838</v>
      </c>
      <c r="K1233" s="32" t="s">
        <v>1513</v>
      </c>
      <c r="L1233" s="32" t="s">
        <v>30</v>
      </c>
      <c r="M1233" s="32" t="s">
        <v>30</v>
      </c>
      <c r="N1233" s="40">
        <v>2010</v>
      </c>
      <c r="O1233" s="32">
        <f>VLOOKUP(Data!N1159, CPI!$A$2:$B$112, 2, 0)</f>
        <v>304.67675000000003</v>
      </c>
      <c r="P1233" s="32" t="s">
        <v>7</v>
      </c>
      <c r="Q1233" s="32" t="s">
        <v>250</v>
      </c>
      <c r="R1233" s="32" t="s">
        <v>2680</v>
      </c>
      <c r="S1233" s="58">
        <v>63207000</v>
      </c>
      <c r="T1233" s="32" t="s">
        <v>1305</v>
      </c>
      <c r="U1233" s="58">
        <v>63207000</v>
      </c>
      <c r="V1233" s="32" t="s">
        <v>1487</v>
      </c>
      <c r="W1233" s="32">
        <f>VLOOKUP(N1233, 'Exchange rate- Vietnam'!$A$2:$B$65, 2, 0)</f>
        <v>18612.916666666701</v>
      </c>
      <c r="X1233" s="32">
        <f t="shared" si="77"/>
        <v>3395.8675650869632</v>
      </c>
      <c r="Y1233" s="32">
        <f>(CPI!$B$112/O1233)*X1233</f>
        <v>3395.8675650869632</v>
      </c>
      <c r="Z1233" s="38" t="s">
        <v>1609</v>
      </c>
      <c r="AA1233" s="35" t="s">
        <v>1446</v>
      </c>
      <c r="AB1233" s="32" t="s">
        <v>30</v>
      </c>
      <c r="AI1233" s="32" t="s">
        <v>2710</v>
      </c>
      <c r="AK1233" s="40" t="s">
        <v>1839</v>
      </c>
      <c r="AL1233" s="32">
        <v>2014</v>
      </c>
      <c r="AM1233" s="32" t="s">
        <v>1840</v>
      </c>
      <c r="AN1233" s="32" t="s">
        <v>1841</v>
      </c>
      <c r="AO1233" s="38" t="s">
        <v>1842</v>
      </c>
      <c r="AP1233" s="35" t="s">
        <v>396</v>
      </c>
    </row>
    <row r="1234" spans="1:42" x14ac:dyDescent="0.2">
      <c r="A1234" s="40">
        <v>121</v>
      </c>
      <c r="B1234" s="40">
        <v>1233</v>
      </c>
      <c r="C1234" s="40" t="s">
        <v>119</v>
      </c>
      <c r="D1234" s="38" t="s">
        <v>128</v>
      </c>
      <c r="E1234" s="32" t="s">
        <v>2186</v>
      </c>
      <c r="F1234" s="32" t="s">
        <v>29</v>
      </c>
      <c r="G1234" s="38" t="s">
        <v>29</v>
      </c>
      <c r="H1234" s="32" t="s">
        <v>151</v>
      </c>
      <c r="I1234" s="32" t="s">
        <v>120</v>
      </c>
      <c r="J1234" s="32" t="s">
        <v>1838</v>
      </c>
      <c r="K1234" s="32" t="s">
        <v>1513</v>
      </c>
      <c r="L1234" s="32" t="s">
        <v>30</v>
      </c>
      <c r="M1234" s="32" t="s">
        <v>30</v>
      </c>
      <c r="N1234" s="40">
        <v>2010</v>
      </c>
      <c r="O1234" s="32">
        <f>VLOOKUP(Data!N1160, CPI!$A$2:$B$112, 2, 0)</f>
        <v>304.67675000000003</v>
      </c>
      <c r="P1234" s="32" t="s">
        <v>7</v>
      </c>
      <c r="Q1234" s="32" t="s">
        <v>250</v>
      </c>
      <c r="R1234" s="32" t="s">
        <v>2681</v>
      </c>
      <c r="S1234" s="58">
        <v>32120000</v>
      </c>
      <c r="T1234" s="32" t="s">
        <v>1305</v>
      </c>
      <c r="U1234" s="58">
        <v>32120000</v>
      </c>
      <c r="V1234" s="32" t="s">
        <v>1487</v>
      </c>
      <c r="W1234" s="32">
        <f>VLOOKUP(N1234, 'Exchange rate- Vietnam'!$A$2:$B$65, 2, 0)</f>
        <v>18612.916666666701</v>
      </c>
      <c r="X1234" s="32">
        <f t="shared" si="77"/>
        <v>1725.6833292292508</v>
      </c>
      <c r="Y1234" s="32">
        <f>(CPI!$B$112/O1234)*X1234</f>
        <v>1725.6833292292508</v>
      </c>
      <c r="Z1234" s="38" t="s">
        <v>1609</v>
      </c>
      <c r="AA1234" s="35" t="s">
        <v>1446</v>
      </c>
      <c r="AB1234" s="32" t="s">
        <v>30</v>
      </c>
      <c r="AI1234" s="32" t="s">
        <v>2711</v>
      </c>
      <c r="AK1234" s="40" t="s">
        <v>1839</v>
      </c>
      <c r="AL1234" s="32">
        <v>2014</v>
      </c>
      <c r="AM1234" s="32" t="s">
        <v>1840</v>
      </c>
      <c r="AN1234" s="32" t="s">
        <v>1841</v>
      </c>
      <c r="AO1234" s="38" t="s">
        <v>1842</v>
      </c>
      <c r="AP1234" s="35" t="s">
        <v>396</v>
      </c>
    </row>
    <row r="1235" spans="1:42" x14ac:dyDescent="0.2">
      <c r="A1235" s="40">
        <v>121</v>
      </c>
      <c r="B1235" s="40">
        <v>1234</v>
      </c>
      <c r="C1235" s="40" t="s">
        <v>119</v>
      </c>
      <c r="D1235" s="38" t="s">
        <v>128</v>
      </c>
      <c r="E1235" s="32" t="s">
        <v>2186</v>
      </c>
      <c r="F1235" s="32" t="s">
        <v>29</v>
      </c>
      <c r="G1235" s="38" t="s">
        <v>29</v>
      </c>
      <c r="H1235" s="32" t="s">
        <v>151</v>
      </c>
      <c r="I1235" s="32" t="s">
        <v>120</v>
      </c>
      <c r="J1235" s="32" t="s">
        <v>1838</v>
      </c>
      <c r="K1235" s="32" t="s">
        <v>1513</v>
      </c>
      <c r="L1235" s="32" t="s">
        <v>30</v>
      </c>
      <c r="M1235" s="32" t="s">
        <v>30</v>
      </c>
      <c r="N1235" s="40">
        <v>2010</v>
      </c>
      <c r="O1235" s="32">
        <f>VLOOKUP(Data!N1161, CPI!$A$2:$B$112, 2, 0)</f>
        <v>304.67675000000003</v>
      </c>
      <c r="P1235" s="32" t="s">
        <v>7</v>
      </c>
      <c r="Q1235" s="32" t="s">
        <v>250</v>
      </c>
      <c r="R1235" s="32" t="s">
        <v>2682</v>
      </c>
      <c r="S1235" s="58">
        <v>13493000</v>
      </c>
      <c r="T1235" s="32" t="s">
        <v>1305</v>
      </c>
      <c r="U1235" s="58">
        <v>13493000</v>
      </c>
      <c r="V1235" s="32" t="s">
        <v>1487</v>
      </c>
      <c r="W1235" s="32">
        <f>VLOOKUP(N1235, 'Exchange rate- Vietnam'!$A$2:$B$65, 2, 0)</f>
        <v>18612.916666666701</v>
      </c>
      <c r="X1235" s="32">
        <f t="shared" si="77"/>
        <v>724.9266862170075</v>
      </c>
      <c r="Y1235" s="32">
        <f>(CPI!$B$112/O1235)*X1235</f>
        <v>724.9266862170075</v>
      </c>
      <c r="Z1235" s="38" t="s">
        <v>1609</v>
      </c>
      <c r="AA1235" s="35" t="s">
        <v>1446</v>
      </c>
      <c r="AB1235" s="32" t="s">
        <v>30</v>
      </c>
      <c r="AI1235" s="32" t="s">
        <v>2712</v>
      </c>
      <c r="AK1235" s="40" t="s">
        <v>1839</v>
      </c>
      <c r="AL1235" s="32">
        <v>2014</v>
      </c>
      <c r="AM1235" s="32" t="s">
        <v>1840</v>
      </c>
      <c r="AN1235" s="32" t="s">
        <v>1841</v>
      </c>
      <c r="AO1235" s="38" t="s">
        <v>1842</v>
      </c>
      <c r="AP1235" s="35" t="s">
        <v>396</v>
      </c>
    </row>
    <row r="1236" spans="1:42" x14ac:dyDescent="0.2">
      <c r="A1236" s="40">
        <v>121</v>
      </c>
      <c r="B1236" s="40">
        <v>1235</v>
      </c>
      <c r="C1236" s="40" t="s">
        <v>119</v>
      </c>
      <c r="D1236" s="38" t="s">
        <v>128</v>
      </c>
      <c r="E1236" s="32" t="s">
        <v>2186</v>
      </c>
      <c r="F1236" s="32" t="s">
        <v>29</v>
      </c>
      <c r="G1236" s="38" t="s">
        <v>29</v>
      </c>
      <c r="H1236" s="32" t="s">
        <v>151</v>
      </c>
      <c r="I1236" s="32" t="s">
        <v>120</v>
      </c>
      <c r="J1236" s="32" t="s">
        <v>1838</v>
      </c>
      <c r="K1236" s="32" t="s">
        <v>1513</v>
      </c>
      <c r="L1236" s="32" t="s">
        <v>30</v>
      </c>
      <c r="M1236" s="32" t="s">
        <v>30</v>
      </c>
      <c r="N1236" s="40">
        <v>2010</v>
      </c>
      <c r="O1236" s="32">
        <f>VLOOKUP(Data!N1162, CPI!$A$2:$B$112, 2, 0)</f>
        <v>304.67675000000003</v>
      </c>
      <c r="P1236" s="32" t="s">
        <v>7</v>
      </c>
      <c r="Q1236" s="32" t="s">
        <v>250</v>
      </c>
      <c r="R1236" s="32" t="s">
        <v>2683</v>
      </c>
      <c r="S1236" s="58">
        <v>57962000</v>
      </c>
      <c r="T1236" s="32" t="s">
        <v>1305</v>
      </c>
      <c r="U1236" s="58">
        <v>57962000</v>
      </c>
      <c r="V1236" s="32" t="s">
        <v>1487</v>
      </c>
      <c r="W1236" s="32">
        <f>VLOOKUP(N1236, 'Exchange rate- Vietnam'!$A$2:$B$65, 2, 0)</f>
        <v>18612.916666666701</v>
      </c>
      <c r="X1236" s="32">
        <f t="shared" si="77"/>
        <v>3114.0740077455116</v>
      </c>
      <c r="Y1236" s="32">
        <f>(CPI!$B$112/O1236)*X1236</f>
        <v>3114.0740077455116</v>
      </c>
      <c r="Z1236" s="38" t="s">
        <v>1609</v>
      </c>
      <c r="AA1236" s="35" t="s">
        <v>1446</v>
      </c>
      <c r="AB1236" s="32" t="s">
        <v>30</v>
      </c>
      <c r="AI1236" s="32" t="s">
        <v>2713</v>
      </c>
      <c r="AK1236" s="40" t="s">
        <v>1839</v>
      </c>
      <c r="AL1236" s="32">
        <v>2014</v>
      </c>
      <c r="AM1236" s="32" t="s">
        <v>1840</v>
      </c>
      <c r="AN1236" s="32" t="s">
        <v>1841</v>
      </c>
      <c r="AO1236" s="38" t="s">
        <v>1842</v>
      </c>
      <c r="AP1236" s="35" t="s">
        <v>396</v>
      </c>
    </row>
    <row r="1237" spans="1:42" x14ac:dyDescent="0.2">
      <c r="A1237" s="40">
        <v>121</v>
      </c>
      <c r="B1237" s="40">
        <v>1236</v>
      </c>
      <c r="C1237" s="40" t="s">
        <v>119</v>
      </c>
      <c r="D1237" s="38" t="s">
        <v>128</v>
      </c>
      <c r="E1237" s="32" t="s">
        <v>2186</v>
      </c>
      <c r="F1237" s="32" t="s">
        <v>29</v>
      </c>
      <c r="G1237" s="38" t="s">
        <v>29</v>
      </c>
      <c r="H1237" s="32" t="s">
        <v>151</v>
      </c>
      <c r="I1237" s="32" t="s">
        <v>120</v>
      </c>
      <c r="J1237" s="32" t="s">
        <v>1838</v>
      </c>
      <c r="K1237" s="32" t="s">
        <v>1513</v>
      </c>
      <c r="L1237" s="32" t="s">
        <v>30</v>
      </c>
      <c r="M1237" s="32" t="s">
        <v>30</v>
      </c>
      <c r="N1237" s="40">
        <v>2010</v>
      </c>
      <c r="O1237" s="32">
        <f>VLOOKUP(Data!N1163, CPI!$A$2:$B$112, 2, 0)</f>
        <v>304.67675000000003</v>
      </c>
      <c r="P1237" s="32" t="s">
        <v>7</v>
      </c>
      <c r="Q1237" s="32" t="s">
        <v>250</v>
      </c>
      <c r="R1237" s="32" t="s">
        <v>2684</v>
      </c>
      <c r="S1237" s="58">
        <v>51848000</v>
      </c>
      <c r="T1237" s="32" t="s">
        <v>1305</v>
      </c>
      <c r="U1237" s="58">
        <v>51848000</v>
      </c>
      <c r="V1237" s="32" t="s">
        <v>1487</v>
      </c>
      <c r="W1237" s="32">
        <f>VLOOKUP(N1237, 'Exchange rate- Vietnam'!$A$2:$B$65, 2, 0)</f>
        <v>18612.916666666701</v>
      </c>
      <c r="X1237" s="32">
        <f t="shared" si="77"/>
        <v>2785.5924425242279</v>
      </c>
      <c r="Y1237" s="32">
        <f>(CPI!$B$112/O1237)*X1237</f>
        <v>2785.5924425242279</v>
      </c>
      <c r="Z1237" s="38" t="s">
        <v>1609</v>
      </c>
      <c r="AA1237" s="35" t="s">
        <v>1446</v>
      </c>
      <c r="AB1237" s="32" t="s">
        <v>30</v>
      </c>
      <c r="AI1237" s="32" t="s">
        <v>2714</v>
      </c>
      <c r="AK1237" s="40" t="s">
        <v>1839</v>
      </c>
      <c r="AL1237" s="32">
        <v>2014</v>
      </c>
      <c r="AM1237" s="32" t="s">
        <v>1840</v>
      </c>
      <c r="AN1237" s="32" t="s">
        <v>1841</v>
      </c>
      <c r="AO1237" s="38" t="s">
        <v>1842</v>
      </c>
      <c r="AP1237" s="35" t="s">
        <v>396</v>
      </c>
    </row>
    <row r="1238" spans="1:42" x14ac:dyDescent="0.2">
      <c r="A1238" s="40">
        <v>121</v>
      </c>
      <c r="B1238" s="40">
        <v>1237</v>
      </c>
      <c r="C1238" s="40" t="s">
        <v>119</v>
      </c>
      <c r="D1238" s="38" t="s">
        <v>128</v>
      </c>
      <c r="E1238" s="32" t="s">
        <v>2186</v>
      </c>
      <c r="F1238" s="32" t="s">
        <v>29</v>
      </c>
      <c r="G1238" s="38" t="s">
        <v>29</v>
      </c>
      <c r="H1238" s="32" t="s">
        <v>151</v>
      </c>
      <c r="I1238" s="32" t="s">
        <v>120</v>
      </c>
      <c r="J1238" s="32" t="s">
        <v>1838</v>
      </c>
      <c r="K1238" s="32" t="s">
        <v>1513</v>
      </c>
      <c r="L1238" s="32" t="s">
        <v>30</v>
      </c>
      <c r="M1238" s="32" t="s">
        <v>30</v>
      </c>
      <c r="N1238" s="40">
        <v>2010</v>
      </c>
      <c r="O1238" s="32">
        <f>VLOOKUP(Data!N1164, CPI!$A$2:$B$112, 2, 0)</f>
        <v>304.67675000000003</v>
      </c>
      <c r="P1238" s="32" t="s">
        <v>7</v>
      </c>
      <c r="Q1238" s="32" t="s">
        <v>250</v>
      </c>
      <c r="R1238" s="32" t="s">
        <v>2685</v>
      </c>
      <c r="S1238" s="58">
        <v>46174000</v>
      </c>
      <c r="T1238" s="32" t="s">
        <v>1305</v>
      </c>
      <c r="U1238" s="58">
        <v>46174000</v>
      </c>
      <c r="V1238" s="32" t="s">
        <v>1487</v>
      </c>
      <c r="W1238" s="32">
        <f>VLOOKUP(N1238, 'Exchange rate- Vietnam'!$A$2:$B$65, 2, 0)</f>
        <v>18612.916666666701</v>
      </c>
      <c r="X1238" s="32">
        <f t="shared" si="77"/>
        <v>2480.7503749636185</v>
      </c>
      <c r="Y1238" s="32">
        <f>(CPI!$B$112/O1238)*X1238</f>
        <v>2480.7503749636185</v>
      </c>
      <c r="Z1238" s="38" t="s">
        <v>1609</v>
      </c>
      <c r="AA1238" s="35" t="s">
        <v>1446</v>
      </c>
      <c r="AB1238" s="32" t="s">
        <v>30</v>
      </c>
      <c r="AI1238" s="32" t="s">
        <v>2715</v>
      </c>
      <c r="AK1238" s="40" t="s">
        <v>1839</v>
      </c>
      <c r="AL1238" s="32">
        <v>2014</v>
      </c>
      <c r="AM1238" s="32" t="s">
        <v>1840</v>
      </c>
      <c r="AN1238" s="32" t="s">
        <v>1841</v>
      </c>
      <c r="AO1238" s="38" t="s">
        <v>1842</v>
      </c>
      <c r="AP1238" s="35" t="s">
        <v>396</v>
      </c>
    </row>
    <row r="1239" spans="1:42" x14ac:dyDescent="0.2">
      <c r="A1239" s="40">
        <v>121</v>
      </c>
      <c r="B1239" s="40">
        <v>1238</v>
      </c>
      <c r="C1239" s="40" t="s">
        <v>119</v>
      </c>
      <c r="D1239" s="38" t="s">
        <v>128</v>
      </c>
      <c r="E1239" s="32" t="s">
        <v>2186</v>
      </c>
      <c r="F1239" s="32" t="s">
        <v>29</v>
      </c>
      <c r="G1239" s="38" t="s">
        <v>29</v>
      </c>
      <c r="H1239" s="32" t="s">
        <v>151</v>
      </c>
      <c r="I1239" s="32" t="s">
        <v>120</v>
      </c>
      <c r="J1239" s="32" t="s">
        <v>1838</v>
      </c>
      <c r="K1239" s="32" t="s">
        <v>1513</v>
      </c>
      <c r="L1239" s="32" t="s">
        <v>30</v>
      </c>
      <c r="M1239" s="32" t="s">
        <v>30</v>
      </c>
      <c r="N1239" s="40">
        <v>2010</v>
      </c>
      <c r="O1239" s="32">
        <f>VLOOKUP(Data!N1165, CPI!$A$2:$B$112, 2, 0)</f>
        <v>304.67675000000003</v>
      </c>
      <c r="P1239" s="32" t="s">
        <v>7</v>
      </c>
      <c r="Q1239" s="32" t="s">
        <v>250</v>
      </c>
      <c r="R1239" s="32" t="s">
        <v>2686</v>
      </c>
      <c r="S1239" s="58">
        <v>137219000</v>
      </c>
      <c r="T1239" s="32" t="s">
        <v>1305</v>
      </c>
      <c r="U1239" s="58">
        <v>137219000</v>
      </c>
      <c r="V1239" s="32" t="s">
        <v>1487</v>
      </c>
      <c r="W1239" s="32">
        <f>VLOOKUP(N1239, 'Exchange rate- Vietnam'!$A$2:$B$65, 2, 0)</f>
        <v>18612.916666666701</v>
      </c>
      <c r="X1239" s="32">
        <f t="shared" si="77"/>
        <v>7372.2459761366299</v>
      </c>
      <c r="Y1239" s="32">
        <f>(CPI!$B$112/O1239)*X1239</f>
        <v>7372.2459761366299</v>
      </c>
      <c r="Z1239" s="38" t="s">
        <v>1609</v>
      </c>
      <c r="AA1239" s="35" t="s">
        <v>1446</v>
      </c>
      <c r="AB1239" s="32" t="s">
        <v>30</v>
      </c>
      <c r="AI1239" s="32" t="s">
        <v>2716</v>
      </c>
      <c r="AK1239" s="40" t="s">
        <v>1839</v>
      </c>
      <c r="AL1239" s="32">
        <v>2014</v>
      </c>
      <c r="AM1239" s="32" t="s">
        <v>1840</v>
      </c>
      <c r="AN1239" s="32" t="s">
        <v>1841</v>
      </c>
      <c r="AO1239" s="38" t="s">
        <v>1842</v>
      </c>
      <c r="AP1239" s="35" t="s">
        <v>396</v>
      </c>
    </row>
    <row r="1240" spans="1:42" x14ac:dyDescent="0.2">
      <c r="A1240" s="40">
        <v>121</v>
      </c>
      <c r="B1240" s="40">
        <v>1239</v>
      </c>
      <c r="C1240" s="40" t="s">
        <v>119</v>
      </c>
      <c r="D1240" s="38" t="s">
        <v>128</v>
      </c>
      <c r="E1240" s="32" t="s">
        <v>2186</v>
      </c>
      <c r="F1240" s="32" t="s">
        <v>29</v>
      </c>
      <c r="G1240" s="38" t="s">
        <v>29</v>
      </c>
      <c r="H1240" s="32" t="s">
        <v>151</v>
      </c>
      <c r="I1240" s="32" t="s">
        <v>120</v>
      </c>
      <c r="J1240" s="32" t="s">
        <v>1838</v>
      </c>
      <c r="K1240" s="32" t="s">
        <v>1513</v>
      </c>
      <c r="L1240" s="32" t="s">
        <v>30</v>
      </c>
      <c r="M1240" s="32" t="s">
        <v>30</v>
      </c>
      <c r="N1240" s="40">
        <v>2010</v>
      </c>
      <c r="O1240" s="32">
        <f>VLOOKUP(Data!N1166, CPI!$A$2:$B$112, 2, 0)</f>
        <v>304.67675000000003</v>
      </c>
      <c r="P1240" s="32" t="s">
        <v>7</v>
      </c>
      <c r="Q1240" s="32" t="s">
        <v>250</v>
      </c>
      <c r="R1240" s="32" t="s">
        <v>2687</v>
      </c>
      <c r="S1240" s="58">
        <v>77575000</v>
      </c>
      <c r="T1240" s="32" t="s">
        <v>1305</v>
      </c>
      <c r="U1240" s="58">
        <v>77575000</v>
      </c>
      <c r="V1240" s="32" t="s">
        <v>1487</v>
      </c>
      <c r="W1240" s="32">
        <f>VLOOKUP(N1240, 'Exchange rate- Vietnam'!$A$2:$B$65, 2, 0)</f>
        <v>18612.916666666701</v>
      </c>
      <c r="X1240" s="32">
        <f t="shared" si="77"/>
        <v>4167.8046159700853</v>
      </c>
      <c r="Y1240" s="32">
        <f>(CPI!$B$112/O1240)*X1240</f>
        <v>4167.8046159700853</v>
      </c>
      <c r="Z1240" s="38" t="s">
        <v>1609</v>
      </c>
      <c r="AA1240" s="35" t="s">
        <v>1446</v>
      </c>
      <c r="AB1240" s="32" t="s">
        <v>30</v>
      </c>
      <c r="AI1240" s="32" t="s">
        <v>2717</v>
      </c>
      <c r="AK1240" s="40" t="s">
        <v>1839</v>
      </c>
      <c r="AL1240" s="32">
        <v>2014</v>
      </c>
      <c r="AM1240" s="32" t="s">
        <v>1840</v>
      </c>
      <c r="AN1240" s="32" t="s">
        <v>1841</v>
      </c>
      <c r="AO1240" s="38" t="s">
        <v>1842</v>
      </c>
      <c r="AP1240" s="35" t="s">
        <v>396</v>
      </c>
    </row>
    <row r="1241" spans="1:42" x14ac:dyDescent="0.2">
      <c r="A1241" s="40">
        <v>121</v>
      </c>
      <c r="B1241" s="40">
        <v>1240</v>
      </c>
      <c r="C1241" s="40" t="s">
        <v>119</v>
      </c>
      <c r="D1241" s="38" t="s">
        <v>128</v>
      </c>
      <c r="E1241" s="32" t="s">
        <v>2186</v>
      </c>
      <c r="F1241" s="32" t="s">
        <v>29</v>
      </c>
      <c r="G1241" s="38" t="s">
        <v>29</v>
      </c>
      <c r="H1241" s="32" t="s">
        <v>151</v>
      </c>
      <c r="I1241" s="32" t="s">
        <v>120</v>
      </c>
      <c r="J1241" s="32" t="s">
        <v>1838</v>
      </c>
      <c r="K1241" s="32" t="s">
        <v>1513</v>
      </c>
      <c r="L1241" s="32" t="s">
        <v>30</v>
      </c>
      <c r="M1241" s="32" t="s">
        <v>30</v>
      </c>
      <c r="N1241" s="40">
        <v>2010</v>
      </c>
      <c r="O1241" s="32">
        <f>VLOOKUP(Data!N1167, CPI!$A$2:$B$112, 2, 0)</f>
        <v>270.97000000000003</v>
      </c>
      <c r="P1241" s="32" t="s">
        <v>7</v>
      </c>
      <c r="Q1241" s="32" t="s">
        <v>250</v>
      </c>
      <c r="R1241" s="32" t="s">
        <v>2688</v>
      </c>
      <c r="S1241" s="58">
        <v>49091000</v>
      </c>
      <c r="T1241" s="32" t="s">
        <v>1305</v>
      </c>
      <c r="U1241" s="58">
        <v>49091000</v>
      </c>
      <c r="V1241" s="32" t="s">
        <v>1487</v>
      </c>
      <c r="W1241" s="32">
        <f>VLOOKUP(N1241, 'Exchange rate- Vietnam'!$A$2:$B$65, 2, 0)</f>
        <v>18612.916666666701</v>
      </c>
      <c r="X1241" s="32">
        <f t="shared" si="77"/>
        <v>2637.4694992276823</v>
      </c>
      <c r="Y1241" s="32">
        <f>(CPI!$B$112/O1241)*X1241</f>
        <v>2965.5520361989065</v>
      </c>
      <c r="Z1241" s="38" t="s">
        <v>1609</v>
      </c>
      <c r="AA1241" s="35" t="s">
        <v>1446</v>
      </c>
      <c r="AB1241" s="32" t="s">
        <v>30</v>
      </c>
      <c r="AI1241" s="32" t="s">
        <v>2718</v>
      </c>
      <c r="AK1241" s="40" t="s">
        <v>1839</v>
      </c>
      <c r="AL1241" s="32">
        <v>2014</v>
      </c>
      <c r="AM1241" s="32" t="s">
        <v>1840</v>
      </c>
      <c r="AN1241" s="32" t="s">
        <v>1841</v>
      </c>
      <c r="AO1241" s="38" t="s">
        <v>1842</v>
      </c>
      <c r="AP1241" s="35" t="s">
        <v>396</v>
      </c>
    </row>
    <row r="1242" spans="1:42" x14ac:dyDescent="0.2">
      <c r="A1242" s="40">
        <v>122</v>
      </c>
      <c r="B1242" s="40">
        <v>1241</v>
      </c>
      <c r="C1242" s="40" t="s">
        <v>119</v>
      </c>
      <c r="D1242" s="38" t="s">
        <v>128</v>
      </c>
      <c r="E1242" s="32" t="s">
        <v>2186</v>
      </c>
      <c r="F1242" s="32" t="s">
        <v>29</v>
      </c>
      <c r="G1242" s="38" t="s">
        <v>29</v>
      </c>
      <c r="H1242" s="32" t="s">
        <v>151</v>
      </c>
      <c r="I1242" s="32" t="s">
        <v>61</v>
      </c>
      <c r="J1242" s="32" t="s">
        <v>2171</v>
      </c>
      <c r="K1242" s="32" t="s">
        <v>1513</v>
      </c>
      <c r="L1242" s="32" t="s">
        <v>30</v>
      </c>
      <c r="M1242" s="32" t="s">
        <v>30</v>
      </c>
      <c r="N1242" s="40">
        <v>2010</v>
      </c>
      <c r="O1242" s="32">
        <f>VLOOKUP(Data!N1168, CPI!$A$2:$B$112, 2, 0)</f>
        <v>251.107</v>
      </c>
      <c r="P1242" s="32" t="s">
        <v>7</v>
      </c>
      <c r="R1242" s="32" t="s">
        <v>2719</v>
      </c>
      <c r="S1242" s="32">
        <v>51100000</v>
      </c>
      <c r="T1242" s="32" t="s">
        <v>1305</v>
      </c>
      <c r="U1242" s="32">
        <f>S1242/37</f>
        <v>1381081.0810810812</v>
      </c>
      <c r="V1242" s="32" t="s">
        <v>1487</v>
      </c>
      <c r="W1242" s="32">
        <f>VLOOKUP(N1242, 'Exchange rate- Vietnam'!$A$2:$B$65, 2, 0)</f>
        <v>18612.916666666701</v>
      </c>
      <c r="X1242" s="32">
        <f t="shared" si="77"/>
        <v>74.200143148677867</v>
      </c>
      <c r="Y1242" s="32">
        <f>(CPI!$B$112/O1242)*X1242</f>
        <v>90.029582863376746</v>
      </c>
      <c r="Z1242" s="38" t="s">
        <v>1609</v>
      </c>
      <c r="AA1242" s="35" t="s">
        <v>1445</v>
      </c>
      <c r="AB1242" s="32">
        <f>4.41*146</f>
        <v>643.86</v>
      </c>
      <c r="AC1242" s="32" t="s">
        <v>2172</v>
      </c>
      <c r="AH1242" s="32" t="s">
        <v>411</v>
      </c>
      <c r="AJ1242" s="35" t="s">
        <v>2721</v>
      </c>
      <c r="AK1242" s="40" t="s">
        <v>2173</v>
      </c>
      <c r="AL1242" s="32">
        <v>2016</v>
      </c>
      <c r="AM1242" s="32" t="s">
        <v>2174</v>
      </c>
      <c r="AN1242" s="32" t="s">
        <v>2175</v>
      </c>
      <c r="AO1242" s="38" t="s">
        <v>2176</v>
      </c>
      <c r="AP1242" s="35" t="s">
        <v>396</v>
      </c>
    </row>
    <row r="1243" spans="1:42" x14ac:dyDescent="0.2">
      <c r="A1243" s="40">
        <v>122</v>
      </c>
      <c r="B1243" s="40">
        <v>1242</v>
      </c>
      <c r="C1243" s="40" t="s">
        <v>119</v>
      </c>
      <c r="D1243" s="38" t="s">
        <v>128</v>
      </c>
      <c r="E1243" s="32" t="s">
        <v>2186</v>
      </c>
      <c r="F1243" s="32" t="s">
        <v>29</v>
      </c>
      <c r="G1243" s="38" t="s">
        <v>29</v>
      </c>
      <c r="H1243" s="32" t="s">
        <v>151</v>
      </c>
      <c r="I1243" s="32" t="s">
        <v>61</v>
      </c>
      <c r="J1243" s="32" t="s">
        <v>2171</v>
      </c>
      <c r="K1243" s="32" t="s">
        <v>1513</v>
      </c>
      <c r="L1243" s="32" t="s">
        <v>30</v>
      </c>
      <c r="M1243" s="32" t="s">
        <v>30</v>
      </c>
      <c r="N1243" s="40">
        <v>2010</v>
      </c>
      <c r="O1243" s="32">
        <f>VLOOKUP(Data!N1169, CPI!$A$2:$B$112, 2, 0)</f>
        <v>251.107</v>
      </c>
      <c r="P1243" s="32" t="s">
        <v>7</v>
      </c>
      <c r="R1243" s="32" t="s">
        <v>2719</v>
      </c>
      <c r="S1243" s="32">
        <v>39500000</v>
      </c>
      <c r="T1243" s="32" t="s">
        <v>1305</v>
      </c>
      <c r="U1243" s="32">
        <f>S1243/37</f>
        <v>1067567.5675675676</v>
      </c>
      <c r="V1243" s="32" t="s">
        <v>1487</v>
      </c>
      <c r="W1243" s="32">
        <f>VLOOKUP(N1243, 'Exchange rate- Vietnam'!$A$2:$B$65, 2, 0)</f>
        <v>18612.916666666701</v>
      </c>
      <c r="X1243" s="32">
        <f t="shared" si="77"/>
        <v>57.356275036649222</v>
      </c>
      <c r="Y1243" s="32">
        <f>(CPI!$B$112/O1243)*X1243</f>
        <v>69.592339003980058</v>
      </c>
      <c r="Z1243" s="38" t="s">
        <v>1609</v>
      </c>
      <c r="AA1243" s="35" t="s">
        <v>1445</v>
      </c>
      <c r="AB1243" s="32">
        <f>4.41*146</f>
        <v>643.86</v>
      </c>
      <c r="AC1243" s="32" t="s">
        <v>2172</v>
      </c>
      <c r="AH1243" s="32" t="s">
        <v>411</v>
      </c>
      <c r="AJ1243" s="35" t="s">
        <v>2721</v>
      </c>
      <c r="AK1243" s="40" t="s">
        <v>2173</v>
      </c>
      <c r="AL1243" s="32">
        <v>2016</v>
      </c>
      <c r="AM1243" s="32" t="s">
        <v>2174</v>
      </c>
      <c r="AN1243" s="32" t="s">
        <v>2175</v>
      </c>
      <c r="AO1243" s="38" t="s">
        <v>2176</v>
      </c>
      <c r="AP1243" s="35" t="s">
        <v>396</v>
      </c>
    </row>
    <row r="1244" spans="1:42" x14ac:dyDescent="0.2">
      <c r="A1244" s="40">
        <v>122</v>
      </c>
      <c r="B1244" s="40">
        <v>1243</v>
      </c>
      <c r="C1244" s="40" t="s">
        <v>119</v>
      </c>
      <c r="D1244" s="38" t="s">
        <v>128</v>
      </c>
      <c r="E1244" s="32" t="s">
        <v>2186</v>
      </c>
      <c r="F1244" s="32" t="s">
        <v>29</v>
      </c>
      <c r="G1244" s="38" t="s">
        <v>29</v>
      </c>
      <c r="H1244" s="32" t="s">
        <v>151</v>
      </c>
      <c r="I1244" s="32" t="s">
        <v>61</v>
      </c>
      <c r="J1244" s="32" t="s">
        <v>2171</v>
      </c>
      <c r="K1244" s="32" t="s">
        <v>1513</v>
      </c>
      <c r="L1244" s="32" t="s">
        <v>30</v>
      </c>
      <c r="M1244" s="32" t="s">
        <v>30</v>
      </c>
      <c r="N1244" s="40">
        <v>2010</v>
      </c>
      <c r="O1244" s="32">
        <f>VLOOKUP(Data!N1170, CPI!$A$2:$B$112, 2, 0)</f>
        <v>251.107</v>
      </c>
      <c r="P1244" s="32" t="s">
        <v>7</v>
      </c>
      <c r="R1244" s="32" t="s">
        <v>2720</v>
      </c>
      <c r="S1244" s="32">
        <v>23600000</v>
      </c>
      <c r="T1244" s="32" t="s">
        <v>1305</v>
      </c>
      <c r="U1244" s="32">
        <f>S1244/37</f>
        <v>637837.83783783787</v>
      </c>
      <c r="V1244" s="32" t="s">
        <v>1487</v>
      </c>
      <c r="W1244" s="32">
        <f>VLOOKUP(N1244, 'Exchange rate- Vietnam'!$A$2:$B$65, 2, 0)</f>
        <v>18612.916666666701</v>
      </c>
      <c r="X1244" s="32">
        <f t="shared" si="77"/>
        <v>34.26855926240308</v>
      </c>
      <c r="Y1244" s="32">
        <f>(CPI!$B$112/O1244)*X1244</f>
        <v>41.579220265669093</v>
      </c>
      <c r="Z1244" s="38" t="s">
        <v>1609</v>
      </c>
      <c r="AA1244" s="35" t="s">
        <v>1445</v>
      </c>
      <c r="AB1244" s="32">
        <f>4.41*146</f>
        <v>643.86</v>
      </c>
      <c r="AC1244" s="32" t="s">
        <v>2172</v>
      </c>
      <c r="AH1244" s="32" t="s">
        <v>411</v>
      </c>
      <c r="AJ1244" s="35" t="s">
        <v>2721</v>
      </c>
      <c r="AK1244" s="40" t="s">
        <v>2173</v>
      </c>
      <c r="AL1244" s="32">
        <v>2016</v>
      </c>
      <c r="AM1244" s="32" t="s">
        <v>2174</v>
      </c>
      <c r="AN1244" s="32" t="s">
        <v>2175</v>
      </c>
      <c r="AO1244" s="38" t="s">
        <v>2176</v>
      </c>
      <c r="AP1244" s="35" t="s">
        <v>396</v>
      </c>
    </row>
    <row r="1245" spans="1:42" x14ac:dyDescent="0.2">
      <c r="A1245" s="40">
        <v>123</v>
      </c>
      <c r="B1245" s="40">
        <v>1244</v>
      </c>
      <c r="C1245" s="40" t="s">
        <v>149</v>
      </c>
      <c r="D1245" s="38" t="s">
        <v>148</v>
      </c>
      <c r="E1245" s="32" t="s">
        <v>2186</v>
      </c>
      <c r="F1245" s="32" t="s">
        <v>29</v>
      </c>
      <c r="G1245" s="38" t="s">
        <v>29</v>
      </c>
      <c r="H1245" s="32" t="s">
        <v>242</v>
      </c>
      <c r="I1245" s="32" t="s">
        <v>243</v>
      </c>
      <c r="J1245" s="32" t="s">
        <v>1843</v>
      </c>
      <c r="K1245" s="32" t="s">
        <v>1513</v>
      </c>
      <c r="L1245" s="32" t="s">
        <v>30</v>
      </c>
      <c r="M1245" s="32" t="s">
        <v>30</v>
      </c>
      <c r="N1245" s="40">
        <v>2017</v>
      </c>
      <c r="O1245" s="32">
        <f>VLOOKUP(Data!N1171, CPI!$A$2:$B$112, 2, 0)</f>
        <v>251.107</v>
      </c>
      <c r="P1245" s="32" t="s">
        <v>16</v>
      </c>
      <c r="Q1245" s="32" t="s">
        <v>4</v>
      </c>
      <c r="R1245" s="32" t="s">
        <v>1844</v>
      </c>
      <c r="S1245" s="32">
        <v>213126</v>
      </c>
      <c r="T1245" s="32" t="s">
        <v>2539</v>
      </c>
      <c r="U1245" s="32">
        <f>(S1245*AE1245)/AB1245</f>
        <v>946530.17647058843</v>
      </c>
      <c r="V1245" s="32" t="s">
        <v>1487</v>
      </c>
      <c r="W1245" s="32">
        <f>VLOOKUP(N1245, 'Exchange rate- Vietnam'!$A$2:$B$65, 2, 0)</f>
        <v>22370.086666666699</v>
      </c>
      <c r="X1245" s="32">
        <f t="shared" si="77"/>
        <v>42.312316021600289</v>
      </c>
      <c r="Y1245" s="32">
        <f>(CPI!$B$112/O1245)*X1245</f>
        <v>51.338986688678965</v>
      </c>
      <c r="Z1245" s="38" t="s">
        <v>1609</v>
      </c>
      <c r="AA1245" s="35" t="s">
        <v>1399</v>
      </c>
      <c r="AB1245" s="32">
        <v>1900</v>
      </c>
      <c r="AC1245" s="32" t="s">
        <v>1425</v>
      </c>
      <c r="AE1245" s="32">
        <f>(9664/5.1)+(8766/5.1)+(9157/5.1)+(6036/5.1)+(9412/5.1)</f>
        <v>8438.2352941176487</v>
      </c>
      <c r="AF1245" s="43" t="s">
        <v>2722</v>
      </c>
      <c r="AG1245" s="43"/>
      <c r="AH1245" s="32" t="s">
        <v>411</v>
      </c>
      <c r="AJ1245" s="35" t="s">
        <v>2328</v>
      </c>
      <c r="AK1245" s="40" t="s">
        <v>1847</v>
      </c>
      <c r="AL1245" s="32">
        <v>2022</v>
      </c>
      <c r="AM1245" s="32" t="s">
        <v>1848</v>
      </c>
      <c r="AN1245" s="32" t="s">
        <v>1849</v>
      </c>
      <c r="AO1245" s="38" t="s">
        <v>1850</v>
      </c>
      <c r="AP1245" s="35" t="s">
        <v>396</v>
      </c>
    </row>
    <row r="1246" spans="1:42" x14ac:dyDescent="0.2">
      <c r="A1246" s="40">
        <v>123</v>
      </c>
      <c r="B1246" s="40">
        <v>1245</v>
      </c>
      <c r="C1246" s="40" t="s">
        <v>149</v>
      </c>
      <c r="D1246" s="38" t="s">
        <v>148</v>
      </c>
      <c r="E1246" s="32" t="s">
        <v>2186</v>
      </c>
      <c r="F1246" s="32" t="s">
        <v>29</v>
      </c>
      <c r="G1246" s="38" t="s">
        <v>29</v>
      </c>
      <c r="H1246" s="32" t="s">
        <v>242</v>
      </c>
      <c r="I1246" s="32" t="s">
        <v>243</v>
      </c>
      <c r="J1246" s="32" t="s">
        <v>1843</v>
      </c>
      <c r="K1246" s="32" t="s">
        <v>1513</v>
      </c>
      <c r="L1246" s="32" t="s">
        <v>30</v>
      </c>
      <c r="M1246" s="32" t="s">
        <v>30</v>
      </c>
      <c r="N1246" s="40">
        <v>2017</v>
      </c>
      <c r="O1246" s="32">
        <f>VLOOKUP(Data!N1172, CPI!$A$2:$B$112, 2, 0)</f>
        <v>251.107</v>
      </c>
      <c r="P1246" s="32" t="s">
        <v>16</v>
      </c>
      <c r="Q1246" s="32" t="s">
        <v>4</v>
      </c>
      <c r="R1246" s="32" t="s">
        <v>1845</v>
      </c>
      <c r="S1246" s="32">
        <v>157816</v>
      </c>
      <c r="T1246" s="32" t="s">
        <v>2539</v>
      </c>
      <c r="U1246" s="32">
        <f>(S1246*AE1246)/AB1246</f>
        <v>634137.4005602242</v>
      </c>
      <c r="V1246" s="32" t="s">
        <v>1487</v>
      </c>
      <c r="W1246" s="32">
        <f>VLOOKUP(N1246, 'Exchange rate- Vietnam'!$A$2:$B$65, 2, 0)</f>
        <v>22370.086666666699</v>
      </c>
      <c r="X1246" s="32">
        <f t="shared" si="77"/>
        <v>28.347561187822397</v>
      </c>
      <c r="Y1246" s="32">
        <f>(CPI!$B$112/O1246)*X1246</f>
        <v>34.395069883085178</v>
      </c>
      <c r="Z1246" s="38" t="s">
        <v>1609</v>
      </c>
      <c r="AA1246" s="35" t="s">
        <v>1399</v>
      </c>
      <c r="AB1246" s="32">
        <v>2100</v>
      </c>
      <c r="AC1246" s="32" t="s">
        <v>1425</v>
      </c>
      <c r="AE1246" s="32">
        <f>(9664/5.1)+(8766/5.1)+(9157/5.1)+(6036/5.1)+(9412/5.1)</f>
        <v>8438.2352941176487</v>
      </c>
      <c r="AF1246" s="43" t="s">
        <v>2722</v>
      </c>
      <c r="AG1246" s="43"/>
      <c r="AH1246" s="32" t="s">
        <v>411</v>
      </c>
      <c r="AJ1246" s="35" t="s">
        <v>2328</v>
      </c>
      <c r="AK1246" s="40" t="s">
        <v>1847</v>
      </c>
      <c r="AL1246" s="32">
        <v>2022</v>
      </c>
      <c r="AM1246" s="32" t="s">
        <v>1848</v>
      </c>
      <c r="AN1246" s="32" t="s">
        <v>1849</v>
      </c>
      <c r="AO1246" s="38" t="s">
        <v>1850</v>
      </c>
      <c r="AP1246" s="35" t="s">
        <v>396</v>
      </c>
    </row>
    <row r="1247" spans="1:42" x14ac:dyDescent="0.2">
      <c r="A1247" s="40">
        <v>123</v>
      </c>
      <c r="B1247" s="40">
        <v>1246</v>
      </c>
      <c r="C1247" s="40" t="s">
        <v>149</v>
      </c>
      <c r="D1247" s="38" t="s">
        <v>148</v>
      </c>
      <c r="E1247" s="32" t="s">
        <v>2184</v>
      </c>
      <c r="F1247" s="32" t="s">
        <v>155</v>
      </c>
      <c r="G1247" s="38" t="s">
        <v>156</v>
      </c>
      <c r="H1247" s="32" t="s">
        <v>242</v>
      </c>
      <c r="I1247" s="32" t="s">
        <v>243</v>
      </c>
      <c r="J1247" s="32" t="s">
        <v>1843</v>
      </c>
      <c r="K1247" s="32" t="s">
        <v>1513</v>
      </c>
      <c r="L1247" s="32" t="s">
        <v>30</v>
      </c>
      <c r="M1247" s="32" t="s">
        <v>30</v>
      </c>
      <c r="N1247" s="40">
        <v>2017</v>
      </c>
      <c r="O1247" s="32">
        <f>VLOOKUP(Data!N1173, CPI!$A$2:$B$112, 2, 0)</f>
        <v>251.107</v>
      </c>
      <c r="P1247" s="32" t="s">
        <v>16</v>
      </c>
      <c r="Q1247" s="32" t="s">
        <v>4</v>
      </c>
      <c r="R1247" s="32" t="s">
        <v>2723</v>
      </c>
      <c r="S1247" s="32">
        <v>151803</v>
      </c>
      <c r="T1247" s="32" t="s">
        <v>2539</v>
      </c>
      <c r="U1247" s="32">
        <f>(S1247*AE1247)/AB1247</f>
        <v>84831.088235294141</v>
      </c>
      <c r="V1247" s="32" t="s">
        <v>1487</v>
      </c>
      <c r="W1247" s="32">
        <f>VLOOKUP(N1247, 'Exchange rate- Vietnam'!$A$2:$B$65, 2, 0)</f>
        <v>22370.086666666699</v>
      </c>
      <c r="X1247" s="32">
        <f t="shared" si="77"/>
        <v>3.7921662754082917</v>
      </c>
      <c r="Y1247" s="32">
        <f>(CPI!$B$112/O1247)*X1247</f>
        <v>4.6011656236226131</v>
      </c>
      <c r="Z1247" s="38" t="s">
        <v>1609</v>
      </c>
      <c r="AA1247" s="35" t="s">
        <v>1399</v>
      </c>
      <c r="AB1247" s="32">
        <f>7100+8000</f>
        <v>15100</v>
      </c>
      <c r="AC1247" s="32" t="s">
        <v>2724</v>
      </c>
      <c r="AE1247" s="32">
        <f>(9664/5.1)+(8766/5.1)+(9157/5.1)+(6036/5.1)+(9412/5.1)</f>
        <v>8438.2352941176487</v>
      </c>
      <c r="AF1247" s="43" t="s">
        <v>2722</v>
      </c>
      <c r="AG1247" s="43"/>
      <c r="AH1247" s="32" t="s">
        <v>411</v>
      </c>
      <c r="AJ1247" s="35" t="s">
        <v>2328</v>
      </c>
      <c r="AK1247" s="40" t="s">
        <v>1847</v>
      </c>
      <c r="AL1247" s="32">
        <v>2022</v>
      </c>
      <c r="AM1247" s="32" t="s">
        <v>1848</v>
      </c>
      <c r="AN1247" s="32" t="s">
        <v>1849</v>
      </c>
      <c r="AO1247" s="38" t="s">
        <v>1850</v>
      </c>
      <c r="AP1247" s="35" t="s">
        <v>396</v>
      </c>
    </row>
    <row r="1248" spans="1:42" x14ac:dyDescent="0.2">
      <c r="A1248" s="40">
        <v>123</v>
      </c>
      <c r="B1248" s="40">
        <v>1247</v>
      </c>
      <c r="C1248" s="40" t="s">
        <v>149</v>
      </c>
      <c r="D1248" s="38" t="s">
        <v>148</v>
      </c>
      <c r="E1248" s="32" t="s">
        <v>2185</v>
      </c>
      <c r="F1248" s="32" t="s">
        <v>2894</v>
      </c>
      <c r="G1248" s="38" t="s">
        <v>142</v>
      </c>
      <c r="H1248" s="32" t="s">
        <v>242</v>
      </c>
      <c r="I1248" s="32" t="s">
        <v>243</v>
      </c>
      <c r="J1248" s="32" t="s">
        <v>1843</v>
      </c>
      <c r="K1248" s="32" t="s">
        <v>1513</v>
      </c>
      <c r="L1248" s="32" t="s">
        <v>30</v>
      </c>
      <c r="M1248" s="32" t="s">
        <v>30</v>
      </c>
      <c r="N1248" s="40">
        <v>2017</v>
      </c>
      <c r="O1248" s="32">
        <f>VLOOKUP(Data!N1174, CPI!$A$2:$B$112, 2, 0)</f>
        <v>251.107</v>
      </c>
      <c r="P1248" s="32" t="s">
        <v>16</v>
      </c>
      <c r="Q1248" s="32" t="s">
        <v>4</v>
      </c>
      <c r="R1248" s="32" t="s">
        <v>1846</v>
      </c>
      <c r="S1248" s="32">
        <v>20222</v>
      </c>
      <c r="T1248" s="32" t="s">
        <v>2539</v>
      </c>
      <c r="U1248" s="32">
        <f>(S1248*AE1248)/AB1248</f>
        <v>11300.529411764708</v>
      </c>
      <c r="V1248" s="32" t="s">
        <v>1487</v>
      </c>
      <c r="W1248" s="32">
        <f>VLOOKUP(N1248, 'Exchange rate- Vietnam'!$A$2:$B$65, 2, 0)</f>
        <v>22370.086666666699</v>
      </c>
      <c r="X1248" s="32">
        <f t="shared" si="77"/>
        <v>0.50516252262014893</v>
      </c>
      <c r="Y1248" s="32">
        <f>(CPI!$B$112/O1248)*X1248</f>
        <v>0.61293104379291896</v>
      </c>
      <c r="Z1248" s="38" t="s">
        <v>1609</v>
      </c>
      <c r="AA1248" s="35" t="s">
        <v>1399</v>
      </c>
      <c r="AB1248" s="32">
        <f>7100+8000</f>
        <v>15100</v>
      </c>
      <c r="AC1248" s="32" t="s">
        <v>2724</v>
      </c>
      <c r="AE1248" s="32">
        <f>(9664/5.1)+(8766/5.1)+(9157/5.1)+(6036/5.1)+(9412/5.1)</f>
        <v>8438.2352941176487</v>
      </c>
      <c r="AF1248" s="43" t="s">
        <v>2722</v>
      </c>
      <c r="AG1248" s="43"/>
      <c r="AH1248" s="32" t="s">
        <v>411</v>
      </c>
      <c r="AJ1248" s="35" t="s">
        <v>2328</v>
      </c>
      <c r="AK1248" s="40" t="s">
        <v>1847</v>
      </c>
      <c r="AL1248" s="32">
        <v>2022</v>
      </c>
      <c r="AM1248" s="32" t="s">
        <v>1848</v>
      </c>
      <c r="AN1248" s="32" t="s">
        <v>1849</v>
      </c>
      <c r="AO1248" s="38" t="s">
        <v>1850</v>
      </c>
      <c r="AP1248" s="35" t="s">
        <v>396</v>
      </c>
    </row>
    <row r="1249" spans="1:42" x14ac:dyDescent="0.2">
      <c r="A1249" s="40">
        <v>124</v>
      </c>
      <c r="B1249" s="40">
        <v>1248</v>
      </c>
      <c r="C1249" s="40" t="s">
        <v>119</v>
      </c>
      <c r="D1249" s="38" t="s">
        <v>128</v>
      </c>
      <c r="E1249" s="32" t="s">
        <v>2186</v>
      </c>
      <c r="F1249" s="32" t="s">
        <v>29</v>
      </c>
      <c r="G1249" s="38" t="s">
        <v>29</v>
      </c>
      <c r="H1249" s="32" t="s">
        <v>242</v>
      </c>
      <c r="I1249" s="32" t="s">
        <v>120</v>
      </c>
      <c r="J1249" s="32" t="s">
        <v>1851</v>
      </c>
      <c r="K1249" s="32" t="s">
        <v>1513</v>
      </c>
      <c r="L1249" s="32" t="s">
        <v>30</v>
      </c>
      <c r="M1249" s="32" t="s">
        <v>30</v>
      </c>
      <c r="N1249" s="40">
        <v>2014</v>
      </c>
      <c r="O1249" s="32">
        <f>VLOOKUP(Data!N906, CPI!$A$2:$B$112, 2, 0)</f>
        <v>177.1</v>
      </c>
      <c r="P1249" s="32" t="s">
        <v>56</v>
      </c>
      <c r="Q1249" s="32" t="s">
        <v>247</v>
      </c>
      <c r="R1249" s="32" t="s">
        <v>1854</v>
      </c>
      <c r="S1249" s="32">
        <v>9</v>
      </c>
      <c r="T1249" s="32" t="s">
        <v>316</v>
      </c>
      <c r="U1249" s="32">
        <v>9</v>
      </c>
      <c r="V1249" s="32" t="s">
        <v>316</v>
      </c>
      <c r="X1249" s="32">
        <f>U1249</f>
        <v>9</v>
      </c>
      <c r="Y1249" s="32">
        <f>(CPI!$B$112/O1249)*X1249</f>
        <v>15.483290513833994</v>
      </c>
      <c r="Z1249" s="38" t="s">
        <v>262</v>
      </c>
      <c r="AA1249" s="35" t="s">
        <v>1446</v>
      </c>
      <c r="AB1249" s="58">
        <v>387781</v>
      </c>
      <c r="AC1249" s="58" t="s">
        <v>1412</v>
      </c>
      <c r="AH1249" s="32" t="s">
        <v>411</v>
      </c>
      <c r="AK1249" s="40" t="s">
        <v>1855</v>
      </c>
      <c r="AL1249" s="32">
        <v>2022</v>
      </c>
      <c r="AM1249" s="32" t="s">
        <v>1856</v>
      </c>
      <c r="AN1249" s="32" t="s">
        <v>1857</v>
      </c>
      <c r="AO1249" s="38" t="s">
        <v>1858</v>
      </c>
      <c r="AP1249" s="35" t="s">
        <v>396</v>
      </c>
    </row>
    <row r="1250" spans="1:42" x14ac:dyDescent="0.2">
      <c r="A1250" s="40">
        <v>124</v>
      </c>
      <c r="B1250" s="40">
        <v>1249</v>
      </c>
      <c r="C1250" s="40" t="s">
        <v>119</v>
      </c>
      <c r="D1250" s="38" t="s">
        <v>128</v>
      </c>
      <c r="E1250" s="32" t="s">
        <v>2186</v>
      </c>
      <c r="F1250" s="32" t="s">
        <v>29</v>
      </c>
      <c r="G1250" s="38" t="s">
        <v>29</v>
      </c>
      <c r="H1250" s="32" t="s">
        <v>242</v>
      </c>
      <c r="I1250" s="32" t="s">
        <v>120</v>
      </c>
      <c r="J1250" s="32" t="s">
        <v>1851</v>
      </c>
      <c r="K1250" s="32" t="s">
        <v>1513</v>
      </c>
      <c r="L1250" s="32" t="s">
        <v>30</v>
      </c>
      <c r="M1250" s="32" t="s">
        <v>30</v>
      </c>
      <c r="N1250" s="40">
        <v>2014</v>
      </c>
      <c r="O1250" s="32">
        <f>VLOOKUP(Data!N907, CPI!$A$2:$B$112, 2, 0)</f>
        <v>177.1</v>
      </c>
      <c r="P1250" s="32" t="s">
        <v>56</v>
      </c>
      <c r="Q1250" s="32" t="s">
        <v>247</v>
      </c>
      <c r="R1250" s="32" t="s">
        <v>1859</v>
      </c>
      <c r="S1250" s="32">
        <v>21</v>
      </c>
      <c r="T1250" s="32" t="s">
        <v>316</v>
      </c>
      <c r="U1250" s="32">
        <v>21</v>
      </c>
      <c r="V1250" s="32" t="s">
        <v>316</v>
      </c>
      <c r="X1250" s="32">
        <f>U1250</f>
        <v>21</v>
      </c>
      <c r="Y1250" s="32">
        <f>(CPI!$B$112/O1250)*X1250</f>
        <v>36.127677865612654</v>
      </c>
      <c r="Z1250" s="38" t="s">
        <v>262</v>
      </c>
      <c r="AA1250" s="35" t="s">
        <v>1446</v>
      </c>
      <c r="AB1250" s="58">
        <v>387781</v>
      </c>
      <c r="AC1250" s="58" t="s">
        <v>1412</v>
      </c>
      <c r="AH1250" s="32" t="s">
        <v>411</v>
      </c>
      <c r="AK1250" s="40" t="s">
        <v>1855</v>
      </c>
      <c r="AL1250" s="32">
        <v>2022</v>
      </c>
      <c r="AM1250" s="32" t="s">
        <v>1856</v>
      </c>
      <c r="AN1250" s="32" t="s">
        <v>1857</v>
      </c>
      <c r="AO1250" s="38" t="s">
        <v>1858</v>
      </c>
      <c r="AP1250" s="35" t="s">
        <v>396</v>
      </c>
    </row>
    <row r="1251" spans="1:42" x14ac:dyDescent="0.2">
      <c r="A1251" s="40">
        <v>124</v>
      </c>
      <c r="B1251" s="40">
        <v>1250</v>
      </c>
      <c r="C1251" s="40" t="s">
        <v>119</v>
      </c>
      <c r="D1251" s="38" t="s">
        <v>128</v>
      </c>
      <c r="E1251" s="32" t="s">
        <v>2186</v>
      </c>
      <c r="F1251" s="32" t="s">
        <v>29</v>
      </c>
      <c r="G1251" s="38" t="s">
        <v>29</v>
      </c>
      <c r="H1251" s="32" t="s">
        <v>242</v>
      </c>
      <c r="I1251" s="32" t="s">
        <v>120</v>
      </c>
      <c r="J1251" s="32" t="s">
        <v>1852</v>
      </c>
      <c r="K1251" s="32" t="s">
        <v>1513</v>
      </c>
      <c r="L1251" s="32" t="s">
        <v>30</v>
      </c>
      <c r="M1251" s="32" t="s">
        <v>30</v>
      </c>
      <c r="N1251" s="40">
        <v>2019</v>
      </c>
      <c r="O1251" s="32">
        <f>VLOOKUP(Data!N908, CPI!$A$2:$B$112, 2, 0)</f>
        <v>177.1</v>
      </c>
      <c r="P1251" s="32" t="s">
        <v>56</v>
      </c>
      <c r="Q1251" s="32" t="s">
        <v>239</v>
      </c>
      <c r="R1251" s="32" t="s">
        <v>1853</v>
      </c>
      <c r="S1251" s="32">
        <v>17</v>
      </c>
      <c r="T1251" s="32" t="s">
        <v>316</v>
      </c>
      <c r="U1251" s="32">
        <v>17</v>
      </c>
      <c r="V1251" s="32" t="s">
        <v>316</v>
      </c>
      <c r="X1251" s="32">
        <f>U1251</f>
        <v>17</v>
      </c>
      <c r="Y1251" s="32">
        <f>(CPI!$B$112/O1251)*X1251</f>
        <v>29.246215415019769</v>
      </c>
      <c r="Z1251" s="38" t="s">
        <v>262</v>
      </c>
      <c r="AA1251" s="35" t="s">
        <v>1446</v>
      </c>
      <c r="AB1251" s="58">
        <v>153958</v>
      </c>
      <c r="AC1251" s="58" t="s">
        <v>1412</v>
      </c>
      <c r="AH1251" s="32" t="s">
        <v>411</v>
      </c>
      <c r="AK1251" s="40" t="s">
        <v>1855</v>
      </c>
      <c r="AL1251" s="32">
        <v>2022</v>
      </c>
      <c r="AM1251" s="32" t="s">
        <v>1856</v>
      </c>
      <c r="AN1251" s="32" t="s">
        <v>1857</v>
      </c>
      <c r="AO1251" s="38" t="s">
        <v>1858</v>
      </c>
      <c r="AP1251" s="35" t="s">
        <v>396</v>
      </c>
    </row>
    <row r="1252" spans="1:42" x14ac:dyDescent="0.2">
      <c r="A1252" s="40">
        <v>124</v>
      </c>
      <c r="B1252" s="40">
        <v>1251</v>
      </c>
      <c r="C1252" s="40" t="s">
        <v>119</v>
      </c>
      <c r="D1252" s="38" t="s">
        <v>128</v>
      </c>
      <c r="E1252" s="32" t="s">
        <v>2186</v>
      </c>
      <c r="F1252" s="32" t="s">
        <v>29</v>
      </c>
      <c r="G1252" s="38" t="s">
        <v>29</v>
      </c>
      <c r="H1252" s="32" t="s">
        <v>242</v>
      </c>
      <c r="I1252" s="32" t="s">
        <v>120</v>
      </c>
      <c r="J1252" s="32" t="s">
        <v>1661</v>
      </c>
      <c r="K1252" s="32" t="s">
        <v>1513</v>
      </c>
      <c r="L1252" s="32" t="s">
        <v>30</v>
      </c>
      <c r="M1252" s="32" t="s">
        <v>30</v>
      </c>
      <c r="N1252" s="40">
        <v>2013</v>
      </c>
      <c r="O1252" s="32">
        <f>VLOOKUP(Data!N909, CPI!$A$2:$B$112, 2, 0)</f>
        <v>177.1</v>
      </c>
      <c r="P1252" s="32" t="s">
        <v>56</v>
      </c>
      <c r="Q1252" s="32" t="s">
        <v>247</v>
      </c>
      <c r="R1252" s="32" t="s">
        <v>1854</v>
      </c>
      <c r="S1252" s="32">
        <v>21</v>
      </c>
      <c r="T1252" s="32" t="s">
        <v>316</v>
      </c>
      <c r="U1252" s="32">
        <v>21</v>
      </c>
      <c r="V1252" s="32" t="s">
        <v>316</v>
      </c>
      <c r="X1252" s="32">
        <f>U1252</f>
        <v>21</v>
      </c>
      <c r="Y1252" s="32">
        <f>(CPI!$B$112/O1252)*X1252</f>
        <v>36.127677865612654</v>
      </c>
      <c r="Z1252" s="38" t="s">
        <v>262</v>
      </c>
      <c r="AA1252" s="35" t="s">
        <v>1446</v>
      </c>
      <c r="AB1252" s="58">
        <v>320970</v>
      </c>
      <c r="AC1252" s="58" t="s">
        <v>1412</v>
      </c>
      <c r="AH1252" s="32" t="s">
        <v>411</v>
      </c>
      <c r="AK1252" s="40" t="s">
        <v>1855</v>
      </c>
      <c r="AL1252" s="32">
        <v>2022</v>
      </c>
      <c r="AM1252" s="32" t="s">
        <v>1856</v>
      </c>
      <c r="AN1252" s="32" t="s">
        <v>1857</v>
      </c>
      <c r="AO1252" s="38" t="s">
        <v>1858</v>
      </c>
      <c r="AP1252" s="35" t="s">
        <v>396</v>
      </c>
    </row>
    <row r="1253" spans="1:42" x14ac:dyDescent="0.2">
      <c r="A1253" s="40">
        <v>124</v>
      </c>
      <c r="B1253" s="40">
        <v>1252</v>
      </c>
      <c r="C1253" s="40" t="s">
        <v>119</v>
      </c>
      <c r="D1253" s="38" t="s">
        <v>128</v>
      </c>
      <c r="E1253" s="32" t="s">
        <v>2186</v>
      </c>
      <c r="F1253" s="32" t="s">
        <v>29</v>
      </c>
      <c r="G1253" s="38" t="s">
        <v>29</v>
      </c>
      <c r="H1253" s="32" t="s">
        <v>242</v>
      </c>
      <c r="I1253" s="32" t="s">
        <v>120</v>
      </c>
      <c r="J1253" s="32" t="s">
        <v>1661</v>
      </c>
      <c r="K1253" s="32" t="s">
        <v>1513</v>
      </c>
      <c r="L1253" s="32" t="s">
        <v>30</v>
      </c>
      <c r="M1253" s="32" t="s">
        <v>30</v>
      </c>
      <c r="N1253" s="40">
        <v>2014</v>
      </c>
      <c r="O1253" s="32">
        <f>VLOOKUP(Data!N910, CPI!$A$2:$B$112, 2, 0)</f>
        <v>177.1</v>
      </c>
      <c r="P1253" s="32" t="s">
        <v>56</v>
      </c>
      <c r="Q1253" s="32" t="s">
        <v>247</v>
      </c>
      <c r="R1253" s="32" t="s">
        <v>1859</v>
      </c>
      <c r="S1253" s="32">
        <v>26</v>
      </c>
      <c r="T1253" s="32" t="s">
        <v>316</v>
      </c>
      <c r="U1253" s="32">
        <v>26</v>
      </c>
      <c r="V1253" s="32" t="s">
        <v>316</v>
      </c>
      <c r="X1253" s="32">
        <f>U1253</f>
        <v>26</v>
      </c>
      <c r="Y1253" s="32">
        <f>(CPI!$B$112/O1253)*X1253</f>
        <v>44.729505928853762</v>
      </c>
      <c r="Z1253" s="38" t="s">
        <v>262</v>
      </c>
      <c r="AA1253" s="35" t="s">
        <v>1446</v>
      </c>
      <c r="AB1253" s="58">
        <v>320970</v>
      </c>
      <c r="AC1253" s="58" t="s">
        <v>1412</v>
      </c>
      <c r="AH1253" s="32" t="s">
        <v>411</v>
      </c>
      <c r="AK1253" s="40" t="s">
        <v>1855</v>
      </c>
      <c r="AL1253" s="32">
        <v>2022</v>
      </c>
      <c r="AM1253" s="32" t="s">
        <v>1856</v>
      </c>
      <c r="AN1253" s="32" t="s">
        <v>1857</v>
      </c>
      <c r="AO1253" s="38" t="s">
        <v>1858</v>
      </c>
      <c r="AP1253" s="35" t="s">
        <v>396</v>
      </c>
    </row>
    <row r="1254" spans="1:42" x14ac:dyDescent="0.2">
      <c r="A1254" s="40">
        <v>125</v>
      </c>
      <c r="B1254" s="40">
        <v>1253</v>
      </c>
      <c r="C1254" s="40" t="s">
        <v>119</v>
      </c>
      <c r="D1254" s="38" t="s">
        <v>128</v>
      </c>
      <c r="E1254" s="32" t="s">
        <v>2185</v>
      </c>
      <c r="F1254" s="32" t="s">
        <v>2894</v>
      </c>
      <c r="G1254" s="38" t="s">
        <v>142</v>
      </c>
      <c r="H1254" s="32" t="s">
        <v>151</v>
      </c>
      <c r="I1254" s="32" t="s">
        <v>137</v>
      </c>
      <c r="J1254" s="32" t="s">
        <v>1513</v>
      </c>
      <c r="K1254" s="32" t="s">
        <v>1513</v>
      </c>
      <c r="L1254" s="32" t="s">
        <v>30</v>
      </c>
      <c r="M1254" s="32" t="s">
        <v>30</v>
      </c>
      <c r="N1254" s="40">
        <v>2010</v>
      </c>
      <c r="O1254" s="32">
        <f>VLOOKUP(Data!N1534, CPI!$A$2:$B$112, 2, 0)</f>
        <v>214.53700000000001</v>
      </c>
      <c r="P1254" s="32" t="s">
        <v>238</v>
      </c>
      <c r="Q1254" s="32" t="s">
        <v>247</v>
      </c>
      <c r="R1254" s="32" t="s">
        <v>1860</v>
      </c>
      <c r="S1254" s="32">
        <v>87</v>
      </c>
      <c r="T1254" s="32" t="s">
        <v>1322</v>
      </c>
      <c r="Z1254" s="38" t="s">
        <v>262</v>
      </c>
      <c r="AA1254" s="35" t="s">
        <v>1464</v>
      </c>
      <c r="AB1254" s="32" t="s">
        <v>30</v>
      </c>
      <c r="AH1254" s="32" t="s">
        <v>397</v>
      </c>
      <c r="AI1254" s="32" t="s">
        <v>2268</v>
      </c>
      <c r="AK1254" s="40" t="s">
        <v>1882</v>
      </c>
      <c r="AL1254" s="32">
        <v>2020</v>
      </c>
      <c r="AM1254" s="32" t="s">
        <v>1883</v>
      </c>
      <c r="AN1254" s="32" t="s">
        <v>1884</v>
      </c>
      <c r="AO1254" s="38" t="s">
        <v>1885</v>
      </c>
      <c r="AP1254" s="35" t="s">
        <v>396</v>
      </c>
    </row>
    <row r="1255" spans="1:42" x14ac:dyDescent="0.2">
      <c r="A1255" s="40">
        <v>125</v>
      </c>
      <c r="B1255" s="40">
        <v>1254</v>
      </c>
      <c r="C1255" s="40" t="s">
        <v>119</v>
      </c>
      <c r="D1255" s="38" t="s">
        <v>128</v>
      </c>
      <c r="E1255" s="32" t="s">
        <v>2185</v>
      </c>
      <c r="F1255" s="32" t="s">
        <v>2894</v>
      </c>
      <c r="G1255" s="38" t="s">
        <v>142</v>
      </c>
      <c r="H1255" s="32" t="s">
        <v>151</v>
      </c>
      <c r="I1255" s="32" t="s">
        <v>137</v>
      </c>
      <c r="J1255" s="32" t="s">
        <v>1513</v>
      </c>
      <c r="K1255" s="32" t="s">
        <v>1513</v>
      </c>
      <c r="L1255" s="32" t="s">
        <v>30</v>
      </c>
      <c r="M1255" s="32" t="s">
        <v>30</v>
      </c>
      <c r="N1255" s="40">
        <v>2010</v>
      </c>
      <c r="O1255" s="32">
        <f>VLOOKUP(Data!N1535, CPI!$A$2:$B$112, 2, 0)</f>
        <v>214.53700000000001</v>
      </c>
      <c r="P1255" s="32" t="s">
        <v>238</v>
      </c>
      <c r="Q1255" s="32" t="s">
        <v>247</v>
      </c>
      <c r="R1255" s="32" t="s">
        <v>1861</v>
      </c>
      <c r="S1255" s="32">
        <v>130.4</v>
      </c>
      <c r="T1255" s="32" t="s">
        <v>1322</v>
      </c>
      <c r="Z1255" s="38" t="s">
        <v>262</v>
      </c>
      <c r="AA1255" s="35" t="s">
        <v>1464</v>
      </c>
      <c r="AB1255" s="32" t="s">
        <v>30</v>
      </c>
      <c r="AH1255" s="32" t="s">
        <v>397</v>
      </c>
      <c r="AI1255" s="32" t="s">
        <v>2268</v>
      </c>
      <c r="AK1255" s="40" t="s">
        <v>1882</v>
      </c>
      <c r="AL1255" s="32">
        <v>2020</v>
      </c>
      <c r="AM1255" s="32" t="s">
        <v>1883</v>
      </c>
      <c r="AN1255" s="32" t="s">
        <v>1884</v>
      </c>
      <c r="AO1255" s="38" t="s">
        <v>1885</v>
      </c>
      <c r="AP1255" s="35" t="s">
        <v>396</v>
      </c>
    </row>
    <row r="1256" spans="1:42" x14ac:dyDescent="0.2">
      <c r="A1256" s="40">
        <v>125</v>
      </c>
      <c r="B1256" s="40">
        <v>1255</v>
      </c>
      <c r="C1256" s="40" t="s">
        <v>119</v>
      </c>
      <c r="D1256" s="38" t="s">
        <v>128</v>
      </c>
      <c r="E1256" s="32" t="s">
        <v>2185</v>
      </c>
      <c r="F1256" s="32" t="s">
        <v>2894</v>
      </c>
      <c r="G1256" s="38" t="s">
        <v>142</v>
      </c>
      <c r="H1256" s="32" t="s">
        <v>151</v>
      </c>
      <c r="I1256" s="32" t="s">
        <v>137</v>
      </c>
      <c r="J1256" s="32" t="s">
        <v>1513</v>
      </c>
      <c r="K1256" s="32" t="s">
        <v>1513</v>
      </c>
      <c r="L1256" s="32" t="s">
        <v>30</v>
      </c>
      <c r="M1256" s="32" t="s">
        <v>30</v>
      </c>
      <c r="N1256" s="40">
        <v>2015</v>
      </c>
      <c r="O1256" s="32">
        <f>VLOOKUP(Data!N1536, CPI!$A$2:$B$112, 2, 0)</f>
        <v>214.53700000000001</v>
      </c>
      <c r="P1256" s="32" t="s">
        <v>238</v>
      </c>
      <c r="Q1256" s="32" t="s">
        <v>247</v>
      </c>
      <c r="R1256" s="32" t="s">
        <v>1860</v>
      </c>
      <c r="S1256" s="32">
        <v>43.5</v>
      </c>
      <c r="T1256" s="32" t="s">
        <v>1322</v>
      </c>
      <c r="Z1256" s="38" t="s">
        <v>262</v>
      </c>
      <c r="AA1256" s="35" t="s">
        <v>1464</v>
      </c>
      <c r="AB1256" s="32" t="s">
        <v>30</v>
      </c>
      <c r="AH1256" s="32" t="s">
        <v>397</v>
      </c>
      <c r="AI1256" s="32" t="s">
        <v>2268</v>
      </c>
      <c r="AK1256" s="40" t="s">
        <v>1882</v>
      </c>
      <c r="AL1256" s="32">
        <v>2020</v>
      </c>
      <c r="AM1256" s="32" t="s">
        <v>1883</v>
      </c>
      <c r="AN1256" s="32" t="s">
        <v>1884</v>
      </c>
      <c r="AO1256" s="38" t="s">
        <v>1885</v>
      </c>
      <c r="AP1256" s="35" t="s">
        <v>396</v>
      </c>
    </row>
    <row r="1257" spans="1:42" x14ac:dyDescent="0.2">
      <c r="A1257" s="40">
        <v>125</v>
      </c>
      <c r="B1257" s="40">
        <v>1256</v>
      </c>
      <c r="C1257" s="40" t="s">
        <v>119</v>
      </c>
      <c r="D1257" s="38" t="s">
        <v>128</v>
      </c>
      <c r="E1257" s="32" t="s">
        <v>2185</v>
      </c>
      <c r="F1257" s="32" t="s">
        <v>2894</v>
      </c>
      <c r="G1257" s="38" t="s">
        <v>142</v>
      </c>
      <c r="H1257" s="32" t="s">
        <v>151</v>
      </c>
      <c r="I1257" s="32" t="s">
        <v>137</v>
      </c>
      <c r="J1257" s="32" t="s">
        <v>1513</v>
      </c>
      <c r="K1257" s="32" t="s">
        <v>1513</v>
      </c>
      <c r="L1257" s="32" t="s">
        <v>30</v>
      </c>
      <c r="M1257" s="32" t="s">
        <v>30</v>
      </c>
      <c r="N1257" s="40">
        <v>2015</v>
      </c>
      <c r="O1257" s="32">
        <f>VLOOKUP(Data!N1537, CPI!$A$2:$B$112, 2, 0)</f>
        <v>236.73599999999999</v>
      </c>
      <c r="P1257" s="32" t="s">
        <v>238</v>
      </c>
      <c r="Q1257" s="32" t="s">
        <v>247</v>
      </c>
      <c r="R1257" s="32" t="s">
        <v>1861</v>
      </c>
      <c r="S1257" s="32">
        <v>65.2</v>
      </c>
      <c r="T1257" s="32" t="s">
        <v>1322</v>
      </c>
      <c r="Z1257" s="38" t="s">
        <v>262</v>
      </c>
      <c r="AA1257" s="35" t="s">
        <v>1464</v>
      </c>
      <c r="AB1257" s="32" t="s">
        <v>30</v>
      </c>
      <c r="AH1257" s="32" t="s">
        <v>397</v>
      </c>
      <c r="AI1257" s="32" t="s">
        <v>2268</v>
      </c>
      <c r="AK1257" s="40" t="s">
        <v>1882</v>
      </c>
      <c r="AL1257" s="32">
        <v>2020</v>
      </c>
      <c r="AM1257" s="32" t="s">
        <v>1883</v>
      </c>
      <c r="AN1257" s="32" t="s">
        <v>1884</v>
      </c>
      <c r="AO1257" s="38" t="s">
        <v>1885</v>
      </c>
      <c r="AP1257" s="35" t="s">
        <v>396</v>
      </c>
    </row>
    <row r="1258" spans="1:42" x14ac:dyDescent="0.2">
      <c r="A1258" s="40">
        <v>125</v>
      </c>
      <c r="B1258" s="40">
        <v>1257</v>
      </c>
      <c r="C1258" s="40" t="s">
        <v>119</v>
      </c>
      <c r="D1258" s="38" t="s">
        <v>128</v>
      </c>
      <c r="E1258" s="32" t="s">
        <v>2185</v>
      </c>
      <c r="F1258" s="32" t="s">
        <v>2894</v>
      </c>
      <c r="G1258" s="38" t="s">
        <v>142</v>
      </c>
      <c r="H1258" s="32" t="s">
        <v>151</v>
      </c>
      <c r="I1258" s="32" t="s">
        <v>137</v>
      </c>
      <c r="J1258" s="32" t="s">
        <v>1513</v>
      </c>
      <c r="K1258" s="32" t="s">
        <v>1513</v>
      </c>
      <c r="L1258" s="32" t="s">
        <v>30</v>
      </c>
      <c r="M1258" s="32" t="s">
        <v>30</v>
      </c>
      <c r="N1258" s="40">
        <v>2018</v>
      </c>
      <c r="O1258" s="32">
        <f>VLOOKUP(Data!N1538, CPI!$A$2:$B$112, 2, 0)</f>
        <v>229.59399999999999</v>
      </c>
      <c r="P1258" s="32" t="s">
        <v>238</v>
      </c>
      <c r="Q1258" s="32" t="s">
        <v>247</v>
      </c>
      <c r="R1258" s="32" t="s">
        <v>1860</v>
      </c>
      <c r="S1258" s="32">
        <v>21.7</v>
      </c>
      <c r="T1258" s="32" t="s">
        <v>1322</v>
      </c>
      <c r="Z1258" s="38" t="s">
        <v>262</v>
      </c>
      <c r="AA1258" s="35" t="s">
        <v>1464</v>
      </c>
      <c r="AB1258" s="32" t="s">
        <v>30</v>
      </c>
      <c r="AH1258" s="32" t="s">
        <v>397</v>
      </c>
      <c r="AI1258" s="32" t="s">
        <v>2268</v>
      </c>
      <c r="AK1258" s="40" t="s">
        <v>1882</v>
      </c>
      <c r="AL1258" s="32">
        <v>2020</v>
      </c>
      <c r="AM1258" s="32" t="s">
        <v>1883</v>
      </c>
      <c r="AN1258" s="32" t="s">
        <v>1884</v>
      </c>
      <c r="AO1258" s="38" t="s">
        <v>1885</v>
      </c>
      <c r="AP1258" s="35" t="s">
        <v>396</v>
      </c>
    </row>
    <row r="1259" spans="1:42" x14ac:dyDescent="0.2">
      <c r="A1259" s="40">
        <v>125</v>
      </c>
      <c r="B1259" s="40">
        <v>1258</v>
      </c>
      <c r="C1259" s="40" t="s">
        <v>119</v>
      </c>
      <c r="D1259" s="38" t="s">
        <v>128</v>
      </c>
      <c r="E1259" s="32" t="s">
        <v>2185</v>
      </c>
      <c r="F1259" s="32" t="s">
        <v>2894</v>
      </c>
      <c r="G1259" s="38" t="s">
        <v>142</v>
      </c>
      <c r="H1259" s="32" t="s">
        <v>151</v>
      </c>
      <c r="I1259" s="32" t="s">
        <v>137</v>
      </c>
      <c r="J1259" s="32" t="s">
        <v>1513</v>
      </c>
      <c r="K1259" s="32" t="s">
        <v>1513</v>
      </c>
      <c r="L1259" s="32" t="s">
        <v>30</v>
      </c>
      <c r="M1259" s="32" t="s">
        <v>30</v>
      </c>
      <c r="N1259" s="40">
        <v>2018</v>
      </c>
      <c r="O1259" s="32">
        <f>VLOOKUP(Data!N1539, CPI!$A$2:$B$112, 2, 0)</f>
        <v>229.59399999999999</v>
      </c>
      <c r="P1259" s="32" t="s">
        <v>238</v>
      </c>
      <c r="Q1259" s="32" t="s">
        <v>247</v>
      </c>
      <c r="R1259" s="32" t="s">
        <v>1861</v>
      </c>
      <c r="S1259" s="32">
        <v>43.5</v>
      </c>
      <c r="T1259" s="32" t="s">
        <v>1322</v>
      </c>
      <c r="Z1259" s="38" t="s">
        <v>262</v>
      </c>
      <c r="AA1259" s="35" t="s">
        <v>1464</v>
      </c>
      <c r="AB1259" s="32" t="s">
        <v>30</v>
      </c>
      <c r="AH1259" s="32" t="s">
        <v>397</v>
      </c>
      <c r="AI1259" s="32" t="s">
        <v>2268</v>
      </c>
      <c r="AK1259" s="40" t="s">
        <v>1882</v>
      </c>
      <c r="AL1259" s="32">
        <v>2020</v>
      </c>
      <c r="AM1259" s="32" t="s">
        <v>1883</v>
      </c>
      <c r="AN1259" s="32" t="s">
        <v>1884</v>
      </c>
      <c r="AO1259" s="38" t="s">
        <v>1885</v>
      </c>
      <c r="AP1259" s="35" t="s">
        <v>396</v>
      </c>
    </row>
    <row r="1260" spans="1:42" x14ac:dyDescent="0.2">
      <c r="A1260" s="40">
        <v>125</v>
      </c>
      <c r="B1260" s="40">
        <v>1259</v>
      </c>
      <c r="C1260" s="40" t="s">
        <v>119</v>
      </c>
      <c r="D1260" s="38" t="s">
        <v>128</v>
      </c>
      <c r="E1260" s="32" t="s">
        <v>2185</v>
      </c>
      <c r="F1260" s="32" t="s">
        <v>2894</v>
      </c>
      <c r="G1260" s="38" t="s">
        <v>142</v>
      </c>
      <c r="H1260" s="32" t="s">
        <v>151</v>
      </c>
      <c r="I1260" s="32" t="s">
        <v>137</v>
      </c>
      <c r="J1260" s="32" t="s">
        <v>1513</v>
      </c>
      <c r="K1260" s="32" t="s">
        <v>1513</v>
      </c>
      <c r="L1260" s="32" t="s">
        <v>30</v>
      </c>
      <c r="M1260" s="32" t="s">
        <v>30</v>
      </c>
      <c r="N1260" s="40">
        <v>2018</v>
      </c>
      <c r="O1260" s="32">
        <f>VLOOKUP(Data!N1540, CPI!$A$2:$B$112, 2, 0)</f>
        <v>229.59399999999999</v>
      </c>
      <c r="P1260" s="32" t="s">
        <v>238</v>
      </c>
      <c r="Q1260" s="32" t="s">
        <v>247</v>
      </c>
      <c r="R1260" s="32" t="s">
        <v>1863</v>
      </c>
      <c r="S1260" s="32">
        <v>0.1</v>
      </c>
      <c r="T1260" s="32" t="s">
        <v>1867</v>
      </c>
      <c r="Z1260" s="38" t="s">
        <v>262</v>
      </c>
      <c r="AA1260" s="35" t="s">
        <v>1464</v>
      </c>
      <c r="AB1260" s="32" t="s">
        <v>30</v>
      </c>
      <c r="AH1260" s="32" t="s">
        <v>397</v>
      </c>
      <c r="AI1260" s="32" t="s">
        <v>2268</v>
      </c>
      <c r="AK1260" s="40" t="s">
        <v>1882</v>
      </c>
      <c r="AL1260" s="32">
        <v>2020</v>
      </c>
      <c r="AM1260" s="32" t="s">
        <v>1883</v>
      </c>
      <c r="AN1260" s="32" t="s">
        <v>1884</v>
      </c>
      <c r="AO1260" s="38" t="s">
        <v>1885</v>
      </c>
      <c r="AP1260" s="35" t="s">
        <v>396</v>
      </c>
    </row>
    <row r="1261" spans="1:42" x14ac:dyDescent="0.2">
      <c r="A1261" s="40">
        <v>125</v>
      </c>
      <c r="B1261" s="40">
        <v>1260</v>
      </c>
      <c r="C1261" s="40" t="s">
        <v>119</v>
      </c>
      <c r="D1261" s="38" t="s">
        <v>128</v>
      </c>
      <c r="E1261" s="32" t="s">
        <v>2185</v>
      </c>
      <c r="F1261" s="32" t="s">
        <v>2894</v>
      </c>
      <c r="G1261" s="38" t="s">
        <v>142</v>
      </c>
      <c r="H1261" s="32" t="s">
        <v>151</v>
      </c>
      <c r="I1261" s="32" t="s">
        <v>137</v>
      </c>
      <c r="J1261" s="32" t="s">
        <v>1513</v>
      </c>
      <c r="K1261" s="32" t="s">
        <v>1513</v>
      </c>
      <c r="L1261" s="32" t="s">
        <v>30</v>
      </c>
      <c r="M1261" s="32" t="s">
        <v>30</v>
      </c>
      <c r="N1261" s="40">
        <v>2018</v>
      </c>
      <c r="O1261" s="32">
        <f>VLOOKUP(Data!N1541, CPI!$A$2:$B$112, 2, 0)</f>
        <v>229.59399999999999</v>
      </c>
      <c r="P1261" s="32" t="s">
        <v>238</v>
      </c>
      <c r="Q1261" s="32" t="s">
        <v>247</v>
      </c>
      <c r="R1261" s="32" t="s">
        <v>1864</v>
      </c>
      <c r="S1261" s="32">
        <v>0.2</v>
      </c>
      <c r="T1261" s="32" t="s">
        <v>1867</v>
      </c>
      <c r="Z1261" s="38" t="s">
        <v>262</v>
      </c>
      <c r="AA1261" s="35" t="s">
        <v>1464</v>
      </c>
      <c r="AB1261" s="32" t="s">
        <v>30</v>
      </c>
      <c r="AH1261" s="32" t="s">
        <v>397</v>
      </c>
      <c r="AI1261" s="32" t="s">
        <v>2268</v>
      </c>
      <c r="AK1261" s="40" t="s">
        <v>1882</v>
      </c>
      <c r="AL1261" s="32">
        <v>2020</v>
      </c>
      <c r="AM1261" s="32" t="s">
        <v>1883</v>
      </c>
      <c r="AN1261" s="32" t="s">
        <v>1884</v>
      </c>
      <c r="AO1261" s="38" t="s">
        <v>1885</v>
      </c>
      <c r="AP1261" s="35" t="s">
        <v>396</v>
      </c>
    </row>
    <row r="1262" spans="1:42" x14ac:dyDescent="0.2">
      <c r="A1262" s="40">
        <v>125</v>
      </c>
      <c r="B1262" s="40">
        <v>1261</v>
      </c>
      <c r="C1262" s="40" t="s">
        <v>119</v>
      </c>
      <c r="D1262" s="38" t="s">
        <v>128</v>
      </c>
      <c r="E1262" s="32" t="s">
        <v>2185</v>
      </c>
      <c r="F1262" s="32" t="s">
        <v>2894</v>
      </c>
      <c r="G1262" s="38" t="s">
        <v>142</v>
      </c>
      <c r="H1262" s="32" t="s">
        <v>151</v>
      </c>
      <c r="I1262" s="32" t="s">
        <v>137</v>
      </c>
      <c r="J1262" s="32" t="s">
        <v>1513</v>
      </c>
      <c r="K1262" s="32" t="s">
        <v>1513</v>
      </c>
      <c r="L1262" s="32" t="s">
        <v>30</v>
      </c>
      <c r="M1262" s="32" t="s">
        <v>30</v>
      </c>
      <c r="N1262" s="40">
        <v>2018</v>
      </c>
      <c r="O1262" s="32">
        <f>VLOOKUP(Data!N1542, CPI!$A$2:$B$112, 2, 0)</f>
        <v>229.59399999999999</v>
      </c>
      <c r="P1262" s="32" t="s">
        <v>238</v>
      </c>
      <c r="Q1262" s="32" t="s">
        <v>247</v>
      </c>
      <c r="R1262" s="32" t="s">
        <v>1865</v>
      </c>
      <c r="S1262" s="32">
        <v>0.2</v>
      </c>
      <c r="T1262" s="32" t="s">
        <v>1867</v>
      </c>
      <c r="Z1262" s="38" t="s">
        <v>262</v>
      </c>
      <c r="AA1262" s="35" t="s">
        <v>1464</v>
      </c>
      <c r="AB1262" s="32" t="s">
        <v>30</v>
      </c>
      <c r="AH1262" s="32" t="s">
        <v>397</v>
      </c>
      <c r="AI1262" s="32" t="s">
        <v>2268</v>
      </c>
      <c r="AK1262" s="40" t="s">
        <v>1882</v>
      </c>
      <c r="AL1262" s="32">
        <v>2020</v>
      </c>
      <c r="AM1262" s="32" t="s">
        <v>1883</v>
      </c>
      <c r="AN1262" s="32" t="s">
        <v>1884</v>
      </c>
      <c r="AO1262" s="38" t="s">
        <v>1885</v>
      </c>
      <c r="AP1262" s="35" t="s">
        <v>396</v>
      </c>
    </row>
    <row r="1263" spans="1:42" x14ac:dyDescent="0.2">
      <c r="A1263" s="40">
        <v>125</v>
      </c>
      <c r="B1263" s="40">
        <v>1262</v>
      </c>
      <c r="C1263" s="40" t="s">
        <v>119</v>
      </c>
      <c r="D1263" s="38" t="s">
        <v>128</v>
      </c>
      <c r="E1263" s="32" t="s">
        <v>2185</v>
      </c>
      <c r="F1263" s="32" t="s">
        <v>2894</v>
      </c>
      <c r="G1263" s="38" t="s">
        <v>142</v>
      </c>
      <c r="H1263" s="32" t="s">
        <v>151</v>
      </c>
      <c r="I1263" s="32" t="s">
        <v>137</v>
      </c>
      <c r="J1263" s="32" t="s">
        <v>1513</v>
      </c>
      <c r="K1263" s="32" t="s">
        <v>1513</v>
      </c>
      <c r="L1263" s="32" t="s">
        <v>30</v>
      </c>
      <c r="M1263" s="32" t="s">
        <v>30</v>
      </c>
      <c r="N1263" s="40">
        <v>2018</v>
      </c>
      <c r="O1263" s="32">
        <f>VLOOKUP(Data!N1543, CPI!$A$2:$B$112, 2, 0)</f>
        <v>201.6</v>
      </c>
      <c r="P1263" s="32" t="s">
        <v>238</v>
      </c>
      <c r="Q1263" s="32" t="s">
        <v>247</v>
      </c>
      <c r="R1263" s="32" t="s">
        <v>1866</v>
      </c>
      <c r="S1263" s="32">
        <v>0.4</v>
      </c>
      <c r="T1263" s="32" t="s">
        <v>1867</v>
      </c>
      <c r="Z1263" s="38" t="s">
        <v>262</v>
      </c>
      <c r="AA1263" s="35" t="s">
        <v>1464</v>
      </c>
      <c r="AB1263" s="32" t="s">
        <v>30</v>
      </c>
      <c r="AH1263" s="32" t="s">
        <v>397</v>
      </c>
      <c r="AI1263" s="32" t="s">
        <v>2268</v>
      </c>
      <c r="AK1263" s="40" t="s">
        <v>1882</v>
      </c>
      <c r="AL1263" s="32">
        <v>2020</v>
      </c>
      <c r="AM1263" s="32" t="s">
        <v>1883</v>
      </c>
      <c r="AN1263" s="32" t="s">
        <v>1884</v>
      </c>
      <c r="AO1263" s="38" t="s">
        <v>1885</v>
      </c>
      <c r="AP1263" s="35" t="s">
        <v>396</v>
      </c>
    </row>
    <row r="1264" spans="1:42" x14ac:dyDescent="0.2">
      <c r="A1264" s="40">
        <v>125</v>
      </c>
      <c r="B1264" s="40">
        <v>1263</v>
      </c>
      <c r="C1264" s="40" t="s">
        <v>119</v>
      </c>
      <c r="D1264" s="38" t="s">
        <v>128</v>
      </c>
      <c r="E1264" s="32" t="s">
        <v>2185</v>
      </c>
      <c r="F1264" s="32" t="s">
        <v>2894</v>
      </c>
      <c r="G1264" s="38" t="s">
        <v>142</v>
      </c>
      <c r="H1264" s="32" t="s">
        <v>151</v>
      </c>
      <c r="I1264" s="32" t="s">
        <v>137</v>
      </c>
      <c r="J1264" s="32" t="s">
        <v>1513</v>
      </c>
      <c r="K1264" s="32" t="s">
        <v>1513</v>
      </c>
      <c r="L1264" s="32" t="s">
        <v>30</v>
      </c>
      <c r="M1264" s="32" t="s">
        <v>30</v>
      </c>
      <c r="N1264" s="40">
        <v>2018</v>
      </c>
      <c r="O1264" s="32">
        <f>VLOOKUP(Data!N1544, CPI!$A$2:$B$112, 2, 0)</f>
        <v>201.6</v>
      </c>
      <c r="P1264" s="32" t="s">
        <v>238</v>
      </c>
      <c r="Q1264" s="32" t="s">
        <v>247</v>
      </c>
      <c r="R1264" s="32" t="s">
        <v>1869</v>
      </c>
      <c r="S1264" s="32">
        <v>43.5</v>
      </c>
      <c r="T1264" s="32" t="s">
        <v>1868</v>
      </c>
      <c r="Z1264" s="38" t="s">
        <v>262</v>
      </c>
      <c r="AA1264" s="35" t="s">
        <v>1464</v>
      </c>
      <c r="AB1264" s="32" t="s">
        <v>30</v>
      </c>
      <c r="AH1264" s="32" t="s">
        <v>397</v>
      </c>
      <c r="AI1264" s="32" t="s">
        <v>2268</v>
      </c>
      <c r="AK1264" s="40" t="s">
        <v>1882</v>
      </c>
      <c r="AL1264" s="32">
        <v>2020</v>
      </c>
      <c r="AM1264" s="32" t="s">
        <v>1883</v>
      </c>
      <c r="AN1264" s="32" t="s">
        <v>1884</v>
      </c>
      <c r="AO1264" s="38" t="s">
        <v>1885</v>
      </c>
      <c r="AP1264" s="35" t="s">
        <v>396</v>
      </c>
    </row>
    <row r="1265" spans="1:42" x14ac:dyDescent="0.2">
      <c r="A1265" s="40">
        <v>125</v>
      </c>
      <c r="B1265" s="40">
        <v>1264</v>
      </c>
      <c r="C1265" s="40" t="s">
        <v>119</v>
      </c>
      <c r="D1265" s="38" t="s">
        <v>128</v>
      </c>
      <c r="E1265" s="32" t="s">
        <v>2185</v>
      </c>
      <c r="F1265" s="32" t="s">
        <v>2894</v>
      </c>
      <c r="G1265" s="38" t="s">
        <v>142</v>
      </c>
      <c r="H1265" s="32" t="s">
        <v>151</v>
      </c>
      <c r="I1265" s="32" t="s">
        <v>137</v>
      </c>
      <c r="J1265" s="32" t="s">
        <v>1513</v>
      </c>
      <c r="K1265" s="32" t="s">
        <v>1513</v>
      </c>
      <c r="L1265" s="32" t="s">
        <v>30</v>
      </c>
      <c r="M1265" s="32" t="s">
        <v>30</v>
      </c>
      <c r="N1265" s="40">
        <v>2018</v>
      </c>
      <c r="O1265" s="32">
        <f>VLOOKUP(Data!N1545, CPI!$A$2:$B$112, 2, 0)</f>
        <v>201.6</v>
      </c>
      <c r="P1265" s="32" t="s">
        <v>238</v>
      </c>
      <c r="Q1265" s="32" t="s">
        <v>247</v>
      </c>
      <c r="R1265" s="32" t="s">
        <v>1870</v>
      </c>
      <c r="S1265" s="32">
        <v>87</v>
      </c>
      <c r="T1265" s="32" t="s">
        <v>1868</v>
      </c>
      <c r="Z1265" s="38" t="s">
        <v>262</v>
      </c>
      <c r="AA1265" s="35" t="s">
        <v>1464</v>
      </c>
      <c r="AB1265" s="32" t="s">
        <v>30</v>
      </c>
      <c r="AH1265" s="32" t="s">
        <v>397</v>
      </c>
      <c r="AI1265" s="32" t="s">
        <v>2268</v>
      </c>
      <c r="AK1265" s="40" t="s">
        <v>1882</v>
      </c>
      <c r="AL1265" s="32">
        <v>2020</v>
      </c>
      <c r="AM1265" s="32" t="s">
        <v>1883</v>
      </c>
      <c r="AN1265" s="32" t="s">
        <v>1884</v>
      </c>
      <c r="AO1265" s="38" t="s">
        <v>1885</v>
      </c>
      <c r="AP1265" s="35" t="s">
        <v>396</v>
      </c>
    </row>
    <row r="1266" spans="1:42" x14ac:dyDescent="0.2">
      <c r="A1266" s="40">
        <v>125</v>
      </c>
      <c r="B1266" s="40">
        <v>1265</v>
      </c>
      <c r="C1266" s="40" t="s">
        <v>119</v>
      </c>
      <c r="D1266" s="38" t="s">
        <v>128</v>
      </c>
      <c r="E1266" s="32" t="s">
        <v>2185</v>
      </c>
      <c r="F1266" s="32" t="s">
        <v>2894</v>
      </c>
      <c r="G1266" s="38" t="s">
        <v>142</v>
      </c>
      <c r="H1266" s="32" t="s">
        <v>151</v>
      </c>
      <c r="I1266" s="32" t="s">
        <v>137</v>
      </c>
      <c r="J1266" s="32" t="s">
        <v>1513</v>
      </c>
      <c r="K1266" s="32" t="s">
        <v>1513</v>
      </c>
      <c r="L1266" s="32" t="s">
        <v>30</v>
      </c>
      <c r="M1266" s="32" t="s">
        <v>30</v>
      </c>
      <c r="N1266" s="40">
        <v>2018</v>
      </c>
      <c r="O1266" s="32">
        <f>VLOOKUP(Data!N1546, CPI!$A$2:$B$112, 2, 0)</f>
        <v>201.6</v>
      </c>
      <c r="P1266" s="32" t="s">
        <v>238</v>
      </c>
      <c r="Q1266" s="32" t="s">
        <v>247</v>
      </c>
      <c r="R1266" s="32" t="s">
        <v>1871</v>
      </c>
      <c r="S1266" s="32">
        <v>130.4</v>
      </c>
      <c r="T1266" s="32" t="s">
        <v>1868</v>
      </c>
      <c r="Z1266" s="38" t="s">
        <v>262</v>
      </c>
      <c r="AA1266" s="35" t="s">
        <v>1464</v>
      </c>
      <c r="AB1266" s="32" t="s">
        <v>30</v>
      </c>
      <c r="AH1266" s="32" t="s">
        <v>397</v>
      </c>
      <c r="AI1266" s="32" t="s">
        <v>2268</v>
      </c>
      <c r="AK1266" s="40" t="s">
        <v>1882</v>
      </c>
      <c r="AL1266" s="32">
        <v>2020</v>
      </c>
      <c r="AM1266" s="32" t="s">
        <v>1883</v>
      </c>
      <c r="AN1266" s="32" t="s">
        <v>1884</v>
      </c>
      <c r="AO1266" s="38" t="s">
        <v>1885</v>
      </c>
      <c r="AP1266" s="35" t="s">
        <v>396</v>
      </c>
    </row>
    <row r="1267" spans="1:42" x14ac:dyDescent="0.2">
      <c r="A1267" s="40">
        <v>125</v>
      </c>
      <c r="B1267" s="40">
        <v>1266</v>
      </c>
      <c r="C1267" s="40" t="s">
        <v>119</v>
      </c>
      <c r="D1267" s="38" t="s">
        <v>128</v>
      </c>
      <c r="E1267" s="32" t="s">
        <v>2185</v>
      </c>
      <c r="F1267" s="32" t="s">
        <v>2894</v>
      </c>
      <c r="G1267" s="38" t="s">
        <v>142</v>
      </c>
      <c r="H1267" s="32" t="s">
        <v>151</v>
      </c>
      <c r="I1267" s="32" t="s">
        <v>137</v>
      </c>
      <c r="J1267" s="32" t="s">
        <v>1513</v>
      </c>
      <c r="K1267" s="32" t="s">
        <v>1513</v>
      </c>
      <c r="L1267" s="32" t="s">
        <v>30</v>
      </c>
      <c r="M1267" s="32" t="s">
        <v>30</v>
      </c>
      <c r="N1267" s="40">
        <v>2018</v>
      </c>
      <c r="O1267" s="32">
        <f>VLOOKUP(Data!N1547, CPI!$A$2:$B$112, 2, 0)</f>
        <v>201.6</v>
      </c>
      <c r="P1267" s="32" t="s">
        <v>238</v>
      </c>
      <c r="Q1267" s="32" t="s">
        <v>247</v>
      </c>
      <c r="R1267" s="32" t="s">
        <v>1872</v>
      </c>
      <c r="S1267" s="32">
        <v>391.3</v>
      </c>
      <c r="T1267" s="32" t="s">
        <v>1868</v>
      </c>
      <c r="Z1267" s="38" t="s">
        <v>262</v>
      </c>
      <c r="AA1267" s="35" t="s">
        <v>1464</v>
      </c>
      <c r="AB1267" s="32" t="s">
        <v>30</v>
      </c>
      <c r="AH1267" s="32" t="s">
        <v>397</v>
      </c>
      <c r="AI1267" s="32" t="s">
        <v>2268</v>
      </c>
      <c r="AK1267" s="40" t="s">
        <v>1882</v>
      </c>
      <c r="AL1267" s="32">
        <v>2020</v>
      </c>
      <c r="AM1267" s="32" t="s">
        <v>1883</v>
      </c>
      <c r="AN1267" s="32" t="s">
        <v>1884</v>
      </c>
      <c r="AO1267" s="38" t="s">
        <v>1885</v>
      </c>
      <c r="AP1267" s="35" t="s">
        <v>396</v>
      </c>
    </row>
    <row r="1268" spans="1:42" x14ac:dyDescent="0.2">
      <c r="A1268" s="40">
        <v>125</v>
      </c>
      <c r="B1268" s="40">
        <v>1267</v>
      </c>
      <c r="C1268" s="40" t="s">
        <v>119</v>
      </c>
      <c r="D1268" s="38" t="s">
        <v>128</v>
      </c>
      <c r="E1268" s="32" t="s">
        <v>2185</v>
      </c>
      <c r="F1268" s="32" t="s">
        <v>2894</v>
      </c>
      <c r="G1268" s="38" t="s">
        <v>142</v>
      </c>
      <c r="H1268" s="32" t="s">
        <v>151</v>
      </c>
      <c r="I1268" s="32" t="s">
        <v>137</v>
      </c>
      <c r="J1268" s="32" t="s">
        <v>1513</v>
      </c>
      <c r="K1268" s="32" t="s">
        <v>1513</v>
      </c>
      <c r="L1268" s="32" t="s">
        <v>30</v>
      </c>
      <c r="M1268" s="32" t="s">
        <v>30</v>
      </c>
      <c r="N1268" s="40">
        <v>2018</v>
      </c>
      <c r="O1268" s="32">
        <f>VLOOKUP(Data!N1548, CPI!$A$2:$B$112, 2, 0)</f>
        <v>215.303</v>
      </c>
      <c r="P1268" s="32" t="s">
        <v>238</v>
      </c>
      <c r="Q1268" s="32" t="s">
        <v>247</v>
      </c>
      <c r="R1268" s="32" t="s">
        <v>1873</v>
      </c>
      <c r="S1268" s="32">
        <v>434.8</v>
      </c>
      <c r="T1268" s="32" t="s">
        <v>1868</v>
      </c>
      <c r="Z1268" s="38" t="s">
        <v>262</v>
      </c>
      <c r="AA1268" s="35" t="s">
        <v>1464</v>
      </c>
      <c r="AB1268" s="32" t="s">
        <v>30</v>
      </c>
      <c r="AH1268" s="32" t="s">
        <v>397</v>
      </c>
      <c r="AI1268" s="32" t="s">
        <v>2268</v>
      </c>
      <c r="AK1268" s="40" t="s">
        <v>1882</v>
      </c>
      <c r="AL1268" s="32">
        <v>2020</v>
      </c>
      <c r="AM1268" s="32" t="s">
        <v>1883</v>
      </c>
      <c r="AN1268" s="32" t="s">
        <v>1884</v>
      </c>
      <c r="AO1268" s="38" t="s">
        <v>1885</v>
      </c>
      <c r="AP1268" s="35" t="s">
        <v>396</v>
      </c>
    </row>
    <row r="1269" spans="1:42" x14ac:dyDescent="0.2">
      <c r="A1269" s="40">
        <v>125</v>
      </c>
      <c r="B1269" s="40">
        <v>1268</v>
      </c>
      <c r="C1269" s="40" t="s">
        <v>119</v>
      </c>
      <c r="D1269" s="38" t="s">
        <v>128</v>
      </c>
      <c r="E1269" s="32" t="s">
        <v>2185</v>
      </c>
      <c r="F1269" s="32" t="s">
        <v>2894</v>
      </c>
      <c r="G1269" s="38" t="s">
        <v>142</v>
      </c>
      <c r="H1269" s="32" t="s">
        <v>151</v>
      </c>
      <c r="I1269" s="32" t="s">
        <v>137</v>
      </c>
      <c r="J1269" s="32" t="s">
        <v>1513</v>
      </c>
      <c r="K1269" s="32" t="s">
        <v>1513</v>
      </c>
      <c r="L1269" s="32" t="s">
        <v>30</v>
      </c>
      <c r="M1269" s="32" t="s">
        <v>30</v>
      </c>
      <c r="N1269" s="40">
        <v>2018</v>
      </c>
      <c r="O1269" s="32">
        <f>VLOOKUP(Data!N1549, CPI!$A$2:$B$112, 2, 0)</f>
        <v>251.107</v>
      </c>
      <c r="P1269" s="32" t="s">
        <v>238</v>
      </c>
      <c r="Q1269" s="32" t="s">
        <v>247</v>
      </c>
      <c r="R1269" s="32" t="s">
        <v>1874</v>
      </c>
      <c r="S1269" s="32">
        <v>4347.8</v>
      </c>
      <c r="T1269" s="32" t="s">
        <v>1868</v>
      </c>
      <c r="Z1269" s="38" t="s">
        <v>262</v>
      </c>
      <c r="AA1269" s="35" t="s">
        <v>1464</v>
      </c>
      <c r="AB1269" s="32" t="s">
        <v>30</v>
      </c>
      <c r="AH1269" s="32" t="s">
        <v>397</v>
      </c>
      <c r="AI1269" s="32" t="s">
        <v>2268</v>
      </c>
      <c r="AK1269" s="40" t="s">
        <v>1882</v>
      </c>
      <c r="AL1269" s="32">
        <v>2020</v>
      </c>
      <c r="AM1269" s="32" t="s">
        <v>1883</v>
      </c>
      <c r="AN1269" s="32" t="s">
        <v>1884</v>
      </c>
      <c r="AO1269" s="38" t="s">
        <v>1885</v>
      </c>
      <c r="AP1269" s="35" t="s">
        <v>396</v>
      </c>
    </row>
    <row r="1270" spans="1:42" x14ac:dyDescent="0.2">
      <c r="A1270" s="40">
        <v>125</v>
      </c>
      <c r="B1270" s="40">
        <v>1269</v>
      </c>
      <c r="C1270" s="40" t="s">
        <v>119</v>
      </c>
      <c r="D1270" s="38" t="s">
        <v>128</v>
      </c>
      <c r="E1270" s="32" t="s">
        <v>2183</v>
      </c>
      <c r="F1270" s="32" t="s">
        <v>126</v>
      </c>
      <c r="G1270" s="38" t="s">
        <v>152</v>
      </c>
      <c r="H1270" s="32" t="s">
        <v>151</v>
      </c>
      <c r="I1270" s="32" t="s">
        <v>137</v>
      </c>
      <c r="J1270" s="32" t="s">
        <v>1513</v>
      </c>
      <c r="K1270" s="32" t="s">
        <v>1513</v>
      </c>
      <c r="L1270" s="32" t="s">
        <v>30</v>
      </c>
      <c r="M1270" s="32" t="s">
        <v>30</v>
      </c>
      <c r="N1270" s="40">
        <v>2018</v>
      </c>
      <c r="O1270" s="32">
        <f>VLOOKUP(Data!N1550, CPI!$A$2:$B$112, 2, 0)</f>
        <v>195.3</v>
      </c>
      <c r="P1270" s="32" t="s">
        <v>238</v>
      </c>
      <c r="Q1270" s="32" t="s">
        <v>247</v>
      </c>
      <c r="R1270" s="32" t="s">
        <v>1876</v>
      </c>
      <c r="S1270" s="32">
        <v>13</v>
      </c>
      <c r="T1270" s="32" t="s">
        <v>1322</v>
      </c>
      <c r="Z1270" s="38" t="s">
        <v>262</v>
      </c>
      <c r="AA1270" s="35" t="s">
        <v>1464</v>
      </c>
      <c r="AB1270" s="32" t="s">
        <v>30</v>
      </c>
      <c r="AH1270" s="32" t="s">
        <v>397</v>
      </c>
      <c r="AI1270" s="32" t="s">
        <v>2268</v>
      </c>
      <c r="AK1270" s="40" t="s">
        <v>1882</v>
      </c>
      <c r="AL1270" s="32">
        <v>2020</v>
      </c>
      <c r="AM1270" s="32" t="s">
        <v>1883</v>
      </c>
      <c r="AN1270" s="32" t="s">
        <v>1884</v>
      </c>
      <c r="AO1270" s="38" t="s">
        <v>1885</v>
      </c>
      <c r="AP1270" s="35" t="s">
        <v>396</v>
      </c>
    </row>
    <row r="1271" spans="1:42" x14ac:dyDescent="0.2">
      <c r="A1271" s="40">
        <v>125</v>
      </c>
      <c r="B1271" s="40">
        <v>1270</v>
      </c>
      <c r="C1271" s="40" t="s">
        <v>119</v>
      </c>
      <c r="D1271" s="38" t="s">
        <v>128</v>
      </c>
      <c r="E1271" s="32" t="s">
        <v>2183</v>
      </c>
      <c r="F1271" s="32" t="s">
        <v>126</v>
      </c>
      <c r="G1271" s="38" t="s">
        <v>152</v>
      </c>
      <c r="H1271" s="32" t="s">
        <v>151</v>
      </c>
      <c r="I1271" s="32" t="s">
        <v>137</v>
      </c>
      <c r="J1271" s="32" t="s">
        <v>1513</v>
      </c>
      <c r="K1271" s="32" t="s">
        <v>1513</v>
      </c>
      <c r="L1271" s="32" t="s">
        <v>30</v>
      </c>
      <c r="M1271" s="32" t="s">
        <v>30</v>
      </c>
      <c r="N1271" s="40">
        <v>2018</v>
      </c>
      <c r="O1271" s="32">
        <f>VLOOKUP(Data!N1551, CPI!$A$2:$B$112, 2, 0)</f>
        <v>207.3</v>
      </c>
      <c r="P1271" s="32" t="s">
        <v>238</v>
      </c>
      <c r="Q1271" s="32" t="s">
        <v>247</v>
      </c>
      <c r="R1271" s="32" t="s">
        <v>1875</v>
      </c>
      <c r="S1271" s="32">
        <v>30.4</v>
      </c>
      <c r="T1271" s="32" t="s">
        <v>1322</v>
      </c>
      <c r="Z1271" s="38" t="s">
        <v>262</v>
      </c>
      <c r="AA1271" s="35" t="s">
        <v>1464</v>
      </c>
      <c r="AB1271" s="32" t="s">
        <v>30</v>
      </c>
      <c r="AH1271" s="32" t="s">
        <v>397</v>
      </c>
      <c r="AI1271" s="32" t="s">
        <v>2268</v>
      </c>
      <c r="AK1271" s="40" t="s">
        <v>1882</v>
      </c>
      <c r="AL1271" s="32">
        <v>2020</v>
      </c>
      <c r="AM1271" s="32" t="s">
        <v>1883</v>
      </c>
      <c r="AN1271" s="32" t="s">
        <v>1884</v>
      </c>
      <c r="AO1271" s="38" t="s">
        <v>1885</v>
      </c>
      <c r="AP1271" s="35" t="s">
        <v>396</v>
      </c>
    </row>
    <row r="1272" spans="1:42" x14ac:dyDescent="0.2">
      <c r="A1272" s="40">
        <v>125</v>
      </c>
      <c r="B1272" s="40">
        <v>1271</v>
      </c>
      <c r="C1272" s="40" t="s">
        <v>119</v>
      </c>
      <c r="D1272" s="38" t="s">
        <v>128</v>
      </c>
      <c r="E1272" s="32" t="s">
        <v>2183</v>
      </c>
      <c r="F1272" s="32" t="s">
        <v>126</v>
      </c>
      <c r="G1272" s="38" t="s">
        <v>152</v>
      </c>
      <c r="H1272" s="32" t="s">
        <v>151</v>
      </c>
      <c r="I1272" s="32" t="s">
        <v>137</v>
      </c>
      <c r="J1272" s="32" t="s">
        <v>1513</v>
      </c>
      <c r="K1272" s="32" t="s">
        <v>1513</v>
      </c>
      <c r="L1272" s="32" t="s">
        <v>30</v>
      </c>
      <c r="M1272" s="32" t="s">
        <v>30</v>
      </c>
      <c r="N1272" s="40">
        <v>2018</v>
      </c>
      <c r="O1272" s="32">
        <f>VLOOKUP(Data!N1552, CPI!$A$2:$B$112, 2, 0)</f>
        <v>207.3</v>
      </c>
      <c r="P1272" s="32" t="s">
        <v>238</v>
      </c>
      <c r="Q1272" s="32" t="s">
        <v>247</v>
      </c>
      <c r="R1272" s="32" t="s">
        <v>1877</v>
      </c>
      <c r="S1272" s="32">
        <v>43.5</v>
      </c>
      <c r="T1272" s="32" t="s">
        <v>1322</v>
      </c>
      <c r="Z1272" s="38" t="s">
        <v>262</v>
      </c>
      <c r="AA1272" s="35" t="s">
        <v>1464</v>
      </c>
      <c r="AB1272" s="32" t="s">
        <v>30</v>
      </c>
      <c r="AH1272" s="32" t="s">
        <v>397</v>
      </c>
      <c r="AI1272" s="32" t="s">
        <v>2268</v>
      </c>
      <c r="AK1272" s="40" t="s">
        <v>1882</v>
      </c>
      <c r="AL1272" s="32">
        <v>2020</v>
      </c>
      <c r="AM1272" s="32" t="s">
        <v>1883</v>
      </c>
      <c r="AN1272" s="32" t="s">
        <v>1884</v>
      </c>
      <c r="AO1272" s="38" t="s">
        <v>1885</v>
      </c>
      <c r="AP1272" s="35" t="s">
        <v>396</v>
      </c>
    </row>
    <row r="1273" spans="1:42" x14ac:dyDescent="0.2">
      <c r="A1273" s="40">
        <v>125</v>
      </c>
      <c r="B1273" s="40">
        <v>1272</v>
      </c>
      <c r="C1273" s="40" t="s">
        <v>119</v>
      </c>
      <c r="D1273" s="38" t="s">
        <v>128</v>
      </c>
      <c r="E1273" s="32" t="s">
        <v>2183</v>
      </c>
      <c r="F1273" s="32" t="s">
        <v>126</v>
      </c>
      <c r="G1273" s="38" t="s">
        <v>152</v>
      </c>
      <c r="H1273" s="32" t="s">
        <v>151</v>
      </c>
      <c r="I1273" s="32" t="s">
        <v>137</v>
      </c>
      <c r="J1273" s="32" t="s">
        <v>1513</v>
      </c>
      <c r="K1273" s="32" t="s">
        <v>1513</v>
      </c>
      <c r="L1273" s="32" t="s">
        <v>30</v>
      </c>
      <c r="M1273" s="32" t="s">
        <v>30</v>
      </c>
      <c r="N1273" s="40">
        <v>2018</v>
      </c>
      <c r="O1273" s="32">
        <f>VLOOKUP(Data!N1553, CPI!$A$2:$B$112, 2, 0)</f>
        <v>224.93899999999999</v>
      </c>
      <c r="P1273" s="32" t="s">
        <v>238</v>
      </c>
      <c r="Q1273" s="32" t="s">
        <v>247</v>
      </c>
      <c r="R1273" s="32" t="s">
        <v>1878</v>
      </c>
      <c r="S1273" s="32">
        <v>65.2</v>
      </c>
      <c r="T1273" s="32" t="s">
        <v>1322</v>
      </c>
      <c r="Z1273" s="38" t="s">
        <v>262</v>
      </c>
      <c r="AA1273" s="35" t="s">
        <v>1464</v>
      </c>
      <c r="AB1273" s="32" t="s">
        <v>30</v>
      </c>
      <c r="AH1273" s="32" t="s">
        <v>397</v>
      </c>
      <c r="AI1273" s="32" t="s">
        <v>2268</v>
      </c>
      <c r="AK1273" s="40" t="s">
        <v>1882</v>
      </c>
      <c r="AL1273" s="32">
        <v>2020</v>
      </c>
      <c r="AM1273" s="32" t="s">
        <v>1883</v>
      </c>
      <c r="AN1273" s="32" t="s">
        <v>1884</v>
      </c>
      <c r="AO1273" s="38" t="s">
        <v>1885</v>
      </c>
      <c r="AP1273" s="35" t="s">
        <v>396</v>
      </c>
    </row>
    <row r="1274" spans="1:42" x14ac:dyDescent="0.2">
      <c r="A1274" s="40">
        <v>125</v>
      </c>
      <c r="B1274" s="40">
        <v>1273</v>
      </c>
      <c r="C1274" s="40" t="s">
        <v>119</v>
      </c>
      <c r="D1274" s="38" t="s">
        <v>128</v>
      </c>
      <c r="E1274" s="32" t="s">
        <v>2183</v>
      </c>
      <c r="F1274" s="32" t="s">
        <v>126</v>
      </c>
      <c r="G1274" s="38" t="s">
        <v>152</v>
      </c>
      <c r="H1274" s="32" t="s">
        <v>151</v>
      </c>
      <c r="I1274" s="32" t="s">
        <v>137</v>
      </c>
      <c r="J1274" s="32" t="s">
        <v>1513</v>
      </c>
      <c r="K1274" s="32" t="s">
        <v>1513</v>
      </c>
      <c r="L1274" s="32" t="s">
        <v>30</v>
      </c>
      <c r="M1274" s="32" t="s">
        <v>30</v>
      </c>
      <c r="N1274" s="40">
        <v>2018</v>
      </c>
      <c r="O1274" s="32">
        <f>VLOOKUP(Data!N1554, CPI!$A$2:$B$112, 2, 0)</f>
        <v>224.93899999999999</v>
      </c>
      <c r="P1274" s="32" t="s">
        <v>238</v>
      </c>
      <c r="Q1274" s="32" t="s">
        <v>247</v>
      </c>
      <c r="R1274" s="32" t="s">
        <v>1879</v>
      </c>
      <c r="S1274" s="32">
        <v>87</v>
      </c>
      <c r="T1274" s="32" t="s">
        <v>1322</v>
      </c>
      <c r="Z1274" s="38" t="s">
        <v>262</v>
      </c>
      <c r="AA1274" s="35" t="s">
        <v>1464</v>
      </c>
      <c r="AB1274" s="32" t="s">
        <v>30</v>
      </c>
      <c r="AH1274" s="32" t="s">
        <v>397</v>
      </c>
      <c r="AI1274" s="32" t="s">
        <v>2268</v>
      </c>
      <c r="AK1274" s="40" t="s">
        <v>1882</v>
      </c>
      <c r="AL1274" s="32">
        <v>2020</v>
      </c>
      <c r="AM1274" s="32" t="s">
        <v>1883</v>
      </c>
      <c r="AN1274" s="32" t="s">
        <v>1884</v>
      </c>
      <c r="AO1274" s="38" t="s">
        <v>1885</v>
      </c>
      <c r="AP1274" s="35" t="s">
        <v>396</v>
      </c>
    </row>
    <row r="1275" spans="1:42" x14ac:dyDescent="0.2">
      <c r="A1275" s="40">
        <v>125</v>
      </c>
      <c r="B1275" s="40">
        <v>1274</v>
      </c>
      <c r="C1275" s="40" t="s">
        <v>119</v>
      </c>
      <c r="D1275" s="38" t="s">
        <v>128</v>
      </c>
      <c r="E1275" s="32" t="s">
        <v>2183</v>
      </c>
      <c r="F1275" s="32" t="s">
        <v>126</v>
      </c>
      <c r="G1275" s="38" t="s">
        <v>152</v>
      </c>
      <c r="H1275" s="32" t="s">
        <v>151</v>
      </c>
      <c r="I1275" s="32" t="s">
        <v>137</v>
      </c>
      <c r="J1275" s="32" t="s">
        <v>1513</v>
      </c>
      <c r="K1275" s="32" t="s">
        <v>1513</v>
      </c>
      <c r="L1275" s="32" t="s">
        <v>30</v>
      </c>
      <c r="M1275" s="32" t="s">
        <v>30</v>
      </c>
      <c r="N1275" s="40">
        <v>2018</v>
      </c>
      <c r="O1275" s="32">
        <f>VLOOKUP(Data!N1555, CPI!$A$2:$B$112, 2, 0)</f>
        <v>245.12</v>
      </c>
      <c r="P1275" s="32" t="s">
        <v>238</v>
      </c>
      <c r="Q1275" s="32" t="s">
        <v>247</v>
      </c>
      <c r="R1275" s="32" t="s">
        <v>1880</v>
      </c>
      <c r="S1275" s="32">
        <v>130.4</v>
      </c>
      <c r="T1275" s="32" t="s">
        <v>1322</v>
      </c>
      <c r="Z1275" s="38" t="s">
        <v>262</v>
      </c>
      <c r="AA1275" s="35" t="s">
        <v>1464</v>
      </c>
      <c r="AB1275" s="32" t="s">
        <v>30</v>
      </c>
      <c r="AH1275" s="32" t="s">
        <v>397</v>
      </c>
      <c r="AI1275" s="32" t="s">
        <v>2268</v>
      </c>
      <c r="AK1275" s="40" t="s">
        <v>1882</v>
      </c>
      <c r="AL1275" s="32">
        <v>2020</v>
      </c>
      <c r="AM1275" s="32" t="s">
        <v>1883</v>
      </c>
      <c r="AN1275" s="32" t="s">
        <v>1884</v>
      </c>
      <c r="AO1275" s="38" t="s">
        <v>1885</v>
      </c>
      <c r="AP1275" s="35" t="s">
        <v>396</v>
      </c>
    </row>
    <row r="1276" spans="1:42" x14ac:dyDescent="0.2">
      <c r="A1276" s="40">
        <v>125</v>
      </c>
      <c r="B1276" s="40">
        <v>1275</v>
      </c>
      <c r="C1276" s="40" t="s">
        <v>119</v>
      </c>
      <c r="D1276" s="38" t="s">
        <v>128</v>
      </c>
      <c r="E1276" s="32" t="s">
        <v>2183</v>
      </c>
      <c r="F1276" s="32" t="s">
        <v>126</v>
      </c>
      <c r="G1276" s="38" t="s">
        <v>152</v>
      </c>
      <c r="H1276" s="32" t="s">
        <v>151</v>
      </c>
      <c r="I1276" s="32" t="s">
        <v>137</v>
      </c>
      <c r="J1276" s="32" t="s">
        <v>1513</v>
      </c>
      <c r="K1276" s="32" t="s">
        <v>1513</v>
      </c>
      <c r="L1276" s="32" t="s">
        <v>30</v>
      </c>
      <c r="M1276" s="32" t="s">
        <v>30</v>
      </c>
      <c r="N1276" s="40">
        <v>2018</v>
      </c>
      <c r="O1276" s="32">
        <f>VLOOKUP(Data!N1556, CPI!$A$2:$B$112, 2, 0)</f>
        <v>245.12</v>
      </c>
      <c r="P1276" s="32" t="s">
        <v>238</v>
      </c>
      <c r="Q1276" s="32" t="s">
        <v>239</v>
      </c>
      <c r="R1276" s="32" t="s">
        <v>1881</v>
      </c>
      <c r="S1276" s="32">
        <v>152.19999999999999</v>
      </c>
      <c r="T1276" s="32" t="s">
        <v>1322</v>
      </c>
      <c r="Z1276" s="38" t="s">
        <v>262</v>
      </c>
      <c r="AA1276" s="35" t="s">
        <v>1464</v>
      </c>
      <c r="AB1276" s="32" t="s">
        <v>30</v>
      </c>
      <c r="AH1276" s="32" t="s">
        <v>397</v>
      </c>
      <c r="AI1276" s="32" t="s">
        <v>2268</v>
      </c>
      <c r="AK1276" s="40" t="s">
        <v>1882</v>
      </c>
      <c r="AL1276" s="32">
        <v>2020</v>
      </c>
      <c r="AM1276" s="32" t="s">
        <v>1883</v>
      </c>
      <c r="AN1276" s="32" t="s">
        <v>1884</v>
      </c>
      <c r="AO1276" s="38" t="s">
        <v>1885</v>
      </c>
      <c r="AP1276" s="35" t="s">
        <v>396</v>
      </c>
    </row>
    <row r="1277" spans="1:42" x14ac:dyDescent="0.2">
      <c r="A1277" s="40">
        <v>126</v>
      </c>
      <c r="B1277" s="40">
        <v>1276</v>
      </c>
      <c r="C1277" s="40" t="s">
        <v>119</v>
      </c>
      <c r="D1277" s="38" t="s">
        <v>128</v>
      </c>
      <c r="E1277" s="32" t="s">
        <v>2186</v>
      </c>
      <c r="F1277" s="32" t="s">
        <v>29</v>
      </c>
      <c r="G1277" s="38" t="s">
        <v>29</v>
      </c>
      <c r="H1277" s="32" t="s">
        <v>242</v>
      </c>
      <c r="I1277" s="32" t="s">
        <v>61</v>
      </c>
      <c r="J1277" s="32" t="s">
        <v>1886</v>
      </c>
      <c r="K1277" s="32" t="s">
        <v>1513</v>
      </c>
      <c r="L1277" s="32" t="s">
        <v>30</v>
      </c>
      <c r="M1277" s="32" t="s">
        <v>30</v>
      </c>
      <c r="N1277" s="40">
        <v>2015</v>
      </c>
      <c r="O1277" s="32">
        <f>VLOOKUP(Data!N1175, CPI!$A$2:$B$112, 2, 0)</f>
        <v>251.107</v>
      </c>
      <c r="P1277" s="32" t="s">
        <v>122</v>
      </c>
      <c r="Q1277" s="32" t="s">
        <v>4</v>
      </c>
      <c r="R1277" s="32" t="s">
        <v>2725</v>
      </c>
      <c r="S1277" s="32">
        <v>9174000</v>
      </c>
      <c r="T1277" s="32" t="s">
        <v>1305</v>
      </c>
      <c r="U1277" s="32">
        <v>9174000</v>
      </c>
      <c r="V1277" s="32" t="s">
        <v>1487</v>
      </c>
      <c r="W1277" s="32">
        <f>VLOOKUP(N1277, 'Exchange rate- Vietnam'!$A$2:$B$65, 2, 0)</f>
        <v>21697.567500000001</v>
      </c>
      <c r="X1277" s="32">
        <f t="shared" ref="X1277:X1285" si="78">U1277/W1277</f>
        <v>422.81237286161223</v>
      </c>
      <c r="Y1277" s="32">
        <f>(CPI!$B$112/O1277)*X1277</f>
        <v>513.01277791246059</v>
      </c>
      <c r="Z1277" s="38" t="s">
        <v>1609</v>
      </c>
      <c r="AA1277" s="35" t="s">
        <v>1464</v>
      </c>
      <c r="AB1277" s="32" t="s">
        <v>30</v>
      </c>
      <c r="AH1277" s="32" t="s">
        <v>411</v>
      </c>
      <c r="AK1277" s="40" t="s">
        <v>1890</v>
      </c>
      <c r="AL1277" s="32">
        <v>2018</v>
      </c>
      <c r="AM1277" s="32" t="s">
        <v>1891</v>
      </c>
      <c r="AN1277" s="32" t="s">
        <v>1892</v>
      </c>
      <c r="AO1277" s="38" t="s">
        <v>1893</v>
      </c>
      <c r="AP1277" s="35" t="s">
        <v>396</v>
      </c>
    </row>
    <row r="1278" spans="1:42" x14ac:dyDescent="0.2">
      <c r="A1278" s="40">
        <v>126</v>
      </c>
      <c r="B1278" s="40">
        <v>1277</v>
      </c>
      <c r="C1278" s="40" t="s">
        <v>119</v>
      </c>
      <c r="D1278" s="38" t="s">
        <v>128</v>
      </c>
      <c r="E1278" s="32" t="s">
        <v>2186</v>
      </c>
      <c r="F1278" s="32" t="s">
        <v>29</v>
      </c>
      <c r="G1278" s="38" t="s">
        <v>29</v>
      </c>
      <c r="H1278" s="32" t="s">
        <v>242</v>
      </c>
      <c r="I1278" s="32" t="s">
        <v>61</v>
      </c>
      <c r="J1278" s="32" t="s">
        <v>1887</v>
      </c>
      <c r="K1278" s="32" t="s">
        <v>1513</v>
      </c>
      <c r="L1278" s="32" t="s">
        <v>30</v>
      </c>
      <c r="M1278" s="32" t="s">
        <v>30</v>
      </c>
      <c r="N1278" s="40">
        <v>2015</v>
      </c>
      <c r="O1278" s="32">
        <f>VLOOKUP(Data!N1176, CPI!$A$2:$B$112, 2, 0)</f>
        <v>218.05600000000001</v>
      </c>
      <c r="P1278" s="32" t="s">
        <v>122</v>
      </c>
      <c r="Q1278" s="32" t="s">
        <v>4</v>
      </c>
      <c r="R1278" s="32" t="s">
        <v>2726</v>
      </c>
      <c r="S1278" s="32">
        <v>5273000</v>
      </c>
      <c r="T1278" s="32" t="s">
        <v>1305</v>
      </c>
      <c r="U1278" s="32">
        <v>5273000</v>
      </c>
      <c r="V1278" s="32" t="s">
        <v>1487</v>
      </c>
      <c r="W1278" s="32">
        <f>VLOOKUP(N1278, 'Exchange rate- Vietnam'!$A$2:$B$65, 2, 0)</f>
        <v>21697.567500000001</v>
      </c>
      <c r="X1278" s="32">
        <f t="shared" si="78"/>
        <v>243.02263375836944</v>
      </c>
      <c r="Y1278" s="32">
        <f>(CPI!$B$112/O1278)*X1278</f>
        <v>339.56115048400545</v>
      </c>
      <c r="Z1278" s="38" t="s">
        <v>1609</v>
      </c>
      <c r="AA1278" s="35" t="s">
        <v>1464</v>
      </c>
      <c r="AB1278" s="32" t="s">
        <v>30</v>
      </c>
      <c r="AH1278" s="32" t="s">
        <v>411</v>
      </c>
      <c r="AK1278" s="40" t="s">
        <v>1890</v>
      </c>
      <c r="AL1278" s="32">
        <v>2018</v>
      </c>
      <c r="AM1278" s="32" t="s">
        <v>1891</v>
      </c>
      <c r="AN1278" s="32" t="s">
        <v>1892</v>
      </c>
      <c r="AO1278" s="38" t="s">
        <v>1893</v>
      </c>
      <c r="AP1278" s="35" t="s">
        <v>396</v>
      </c>
    </row>
    <row r="1279" spans="1:42" x14ac:dyDescent="0.2">
      <c r="A1279" s="40">
        <v>126</v>
      </c>
      <c r="B1279" s="40">
        <v>1278</v>
      </c>
      <c r="C1279" s="40" t="s">
        <v>119</v>
      </c>
      <c r="D1279" s="38" t="s">
        <v>128</v>
      </c>
      <c r="E1279" s="32" t="s">
        <v>2186</v>
      </c>
      <c r="F1279" s="32" t="s">
        <v>29</v>
      </c>
      <c r="G1279" s="38" t="s">
        <v>29</v>
      </c>
      <c r="H1279" s="32" t="s">
        <v>242</v>
      </c>
      <c r="I1279" s="32" t="s">
        <v>61</v>
      </c>
      <c r="J1279" s="32" t="s">
        <v>1886</v>
      </c>
      <c r="K1279" s="32" t="s">
        <v>1513</v>
      </c>
      <c r="L1279" s="32" t="s">
        <v>30</v>
      </c>
      <c r="M1279" s="32" t="s">
        <v>30</v>
      </c>
      <c r="N1279" s="40">
        <v>2015</v>
      </c>
      <c r="O1279" s="32">
        <f>VLOOKUP(Data!N1177, CPI!$A$2:$B$112, 2, 0)</f>
        <v>218.05600000000001</v>
      </c>
      <c r="P1279" s="32" t="s">
        <v>122</v>
      </c>
      <c r="Q1279" s="32" t="s">
        <v>239</v>
      </c>
      <c r="R1279" s="32" t="s">
        <v>1888</v>
      </c>
      <c r="S1279" s="32">
        <v>9453000</v>
      </c>
      <c r="T1279" s="32" t="s">
        <v>1487</v>
      </c>
      <c r="U1279" s="32">
        <v>9453000</v>
      </c>
      <c r="V1279" s="32" t="s">
        <v>1487</v>
      </c>
      <c r="W1279" s="32">
        <f>VLOOKUP(N1279, 'Exchange rate- Vietnam'!$A$2:$B$65, 2, 0)</f>
        <v>21697.567500000001</v>
      </c>
      <c r="X1279" s="32">
        <f t="shared" si="78"/>
        <v>435.67095712457166</v>
      </c>
      <c r="Y1279" s="32">
        <f>(CPI!$B$112/O1279)*X1279</f>
        <v>608.73725687944307</v>
      </c>
      <c r="Z1279" s="38" t="s">
        <v>1609</v>
      </c>
      <c r="AA1279" s="35" t="s">
        <v>1464</v>
      </c>
      <c r="AB1279" s="32" t="s">
        <v>30</v>
      </c>
      <c r="AH1279" s="32" t="s">
        <v>411</v>
      </c>
      <c r="AK1279" s="40" t="s">
        <v>1890</v>
      </c>
      <c r="AL1279" s="32">
        <v>2018</v>
      </c>
      <c r="AM1279" s="32" t="s">
        <v>1891</v>
      </c>
      <c r="AN1279" s="32" t="s">
        <v>1892</v>
      </c>
      <c r="AO1279" s="38" t="s">
        <v>1893</v>
      </c>
      <c r="AP1279" s="35" t="s">
        <v>396</v>
      </c>
    </row>
    <row r="1280" spans="1:42" x14ac:dyDescent="0.2">
      <c r="A1280" s="40">
        <v>126</v>
      </c>
      <c r="B1280" s="40">
        <v>1279</v>
      </c>
      <c r="C1280" s="40" t="s">
        <v>119</v>
      </c>
      <c r="D1280" s="38" t="s">
        <v>128</v>
      </c>
      <c r="E1280" s="32" t="s">
        <v>2186</v>
      </c>
      <c r="F1280" s="32" t="s">
        <v>29</v>
      </c>
      <c r="G1280" s="38" t="s">
        <v>29</v>
      </c>
      <c r="H1280" s="32" t="s">
        <v>242</v>
      </c>
      <c r="I1280" s="32" t="s">
        <v>61</v>
      </c>
      <c r="J1280" s="32" t="s">
        <v>1886</v>
      </c>
      <c r="K1280" s="32" t="s">
        <v>1513</v>
      </c>
      <c r="L1280" s="32" t="s">
        <v>30</v>
      </c>
      <c r="M1280" s="32" t="s">
        <v>30</v>
      </c>
      <c r="N1280" s="40">
        <v>2015</v>
      </c>
      <c r="O1280" s="32">
        <f>VLOOKUP(Data!N1178, CPI!$A$2:$B$112, 2, 0)</f>
        <v>218.05600000000001</v>
      </c>
      <c r="P1280" s="32" t="s">
        <v>122</v>
      </c>
      <c r="Q1280" s="32" t="s">
        <v>239</v>
      </c>
      <c r="R1280" s="32" t="s">
        <v>1889</v>
      </c>
      <c r="S1280" s="32">
        <v>13539000</v>
      </c>
      <c r="T1280" s="32" t="s">
        <v>1487</v>
      </c>
      <c r="U1280" s="32">
        <v>13539000</v>
      </c>
      <c r="V1280" s="32" t="s">
        <v>1487</v>
      </c>
      <c r="W1280" s="32">
        <f>VLOOKUP(N1280, 'Exchange rate- Vietnam'!$A$2:$B$65, 2, 0)</f>
        <v>21697.567500000001</v>
      </c>
      <c r="X1280" s="32">
        <f t="shared" si="78"/>
        <v>623.98699762081617</v>
      </c>
      <c r="Y1280" s="32">
        <f>(CPI!$B$112/O1280)*X1280</f>
        <v>871.86012069086848</v>
      </c>
      <c r="Z1280" s="38" t="s">
        <v>1609</v>
      </c>
      <c r="AA1280" s="35" t="s">
        <v>1464</v>
      </c>
      <c r="AB1280" s="32" t="s">
        <v>30</v>
      </c>
      <c r="AH1280" s="32" t="s">
        <v>411</v>
      </c>
      <c r="AK1280" s="40" t="s">
        <v>1890</v>
      </c>
      <c r="AL1280" s="32">
        <v>2018</v>
      </c>
      <c r="AM1280" s="32" t="s">
        <v>1891</v>
      </c>
      <c r="AN1280" s="32" t="s">
        <v>1892</v>
      </c>
      <c r="AO1280" s="38" t="s">
        <v>1893</v>
      </c>
      <c r="AP1280" s="35" t="s">
        <v>396</v>
      </c>
    </row>
    <row r="1281" spans="1:42" x14ac:dyDescent="0.2">
      <c r="A1281" s="40">
        <v>126</v>
      </c>
      <c r="B1281" s="40">
        <v>1280</v>
      </c>
      <c r="C1281" s="40" t="s">
        <v>119</v>
      </c>
      <c r="D1281" s="38" t="s">
        <v>128</v>
      </c>
      <c r="E1281" s="32" t="s">
        <v>2186</v>
      </c>
      <c r="F1281" s="32" t="s">
        <v>29</v>
      </c>
      <c r="G1281" s="38" t="s">
        <v>29</v>
      </c>
      <c r="H1281" s="32" t="s">
        <v>242</v>
      </c>
      <c r="I1281" s="32" t="s">
        <v>61</v>
      </c>
      <c r="J1281" s="32" t="s">
        <v>1887</v>
      </c>
      <c r="K1281" s="32" t="s">
        <v>1513</v>
      </c>
      <c r="L1281" s="32" t="s">
        <v>30</v>
      </c>
      <c r="M1281" s="32" t="s">
        <v>30</v>
      </c>
      <c r="N1281" s="40">
        <v>2015</v>
      </c>
      <c r="O1281" s="32">
        <f>VLOOKUP(Data!N1179, CPI!$A$2:$B$112, 2, 0)</f>
        <v>218.05600000000001</v>
      </c>
      <c r="P1281" s="32" t="s">
        <v>122</v>
      </c>
      <c r="Q1281" s="32" t="s">
        <v>239</v>
      </c>
      <c r="R1281" s="32" t="s">
        <v>1888</v>
      </c>
      <c r="S1281" s="32">
        <v>5848000</v>
      </c>
      <c r="T1281" s="32" t="s">
        <v>1487</v>
      </c>
      <c r="U1281" s="32">
        <v>5848000</v>
      </c>
      <c r="V1281" s="32" t="s">
        <v>1487</v>
      </c>
      <c r="W1281" s="32">
        <f>VLOOKUP(N1281, 'Exchange rate- Vietnam'!$A$2:$B$65, 2, 0)</f>
        <v>21697.567500000001</v>
      </c>
      <c r="X1281" s="32">
        <f t="shared" si="78"/>
        <v>269.52330025013174</v>
      </c>
      <c r="Y1281" s="32">
        <f>(CPI!$B$112/O1281)*X1281</f>
        <v>376.58896416280373</v>
      </c>
      <c r="Z1281" s="38" t="s">
        <v>1609</v>
      </c>
      <c r="AA1281" s="35" t="s">
        <v>1464</v>
      </c>
      <c r="AB1281" s="32" t="s">
        <v>30</v>
      </c>
      <c r="AH1281" s="32" t="s">
        <v>411</v>
      </c>
      <c r="AK1281" s="40" t="s">
        <v>1890</v>
      </c>
      <c r="AL1281" s="32">
        <v>2018</v>
      </c>
      <c r="AM1281" s="32" t="s">
        <v>1891</v>
      </c>
      <c r="AN1281" s="32" t="s">
        <v>1892</v>
      </c>
      <c r="AO1281" s="38" t="s">
        <v>1893</v>
      </c>
      <c r="AP1281" s="35" t="s">
        <v>396</v>
      </c>
    </row>
    <row r="1282" spans="1:42" x14ac:dyDescent="0.2">
      <c r="A1282" s="40">
        <v>126</v>
      </c>
      <c r="B1282" s="40">
        <v>1281</v>
      </c>
      <c r="C1282" s="40" t="s">
        <v>119</v>
      </c>
      <c r="D1282" s="38" t="s">
        <v>128</v>
      </c>
      <c r="E1282" s="32" t="s">
        <v>2186</v>
      </c>
      <c r="F1282" s="32" t="s">
        <v>29</v>
      </c>
      <c r="G1282" s="38" t="s">
        <v>29</v>
      </c>
      <c r="H1282" s="32" t="s">
        <v>242</v>
      </c>
      <c r="I1282" s="32" t="s">
        <v>61</v>
      </c>
      <c r="J1282" s="32" t="s">
        <v>1887</v>
      </c>
      <c r="K1282" s="32" t="s">
        <v>1513</v>
      </c>
      <c r="L1282" s="32" t="s">
        <v>30</v>
      </c>
      <c r="M1282" s="32" t="s">
        <v>30</v>
      </c>
      <c r="N1282" s="40">
        <v>2015</v>
      </c>
      <c r="O1282" s="32">
        <f>VLOOKUP(Data!N1180, CPI!$A$2:$B$112, 2, 0)</f>
        <v>218.05600000000001</v>
      </c>
      <c r="P1282" s="32" t="s">
        <v>122</v>
      </c>
      <c r="Q1282" s="32" t="s">
        <v>239</v>
      </c>
      <c r="R1282" s="32" t="s">
        <v>1889</v>
      </c>
      <c r="S1282" s="32">
        <v>8833000</v>
      </c>
      <c r="T1282" s="32" t="s">
        <v>1487</v>
      </c>
      <c r="U1282" s="32">
        <v>8833000</v>
      </c>
      <c r="V1282" s="32" t="s">
        <v>1487</v>
      </c>
      <c r="W1282" s="32">
        <f>VLOOKUP(N1282, 'Exchange rate- Vietnam'!$A$2:$B$65, 2, 0)</f>
        <v>21697.567500000001</v>
      </c>
      <c r="X1282" s="32">
        <f t="shared" si="78"/>
        <v>407.09632542910629</v>
      </c>
      <c r="Y1282" s="32">
        <f>(CPI!$B$112/O1282)*X1282</f>
        <v>568.81161430404325</v>
      </c>
      <c r="Z1282" s="38" t="s">
        <v>1609</v>
      </c>
      <c r="AA1282" s="35" t="s">
        <v>1464</v>
      </c>
      <c r="AB1282" s="32" t="s">
        <v>30</v>
      </c>
      <c r="AH1282" s="32" t="s">
        <v>411</v>
      </c>
      <c r="AK1282" s="40" t="s">
        <v>1890</v>
      </c>
      <c r="AL1282" s="32">
        <v>2018</v>
      </c>
      <c r="AM1282" s="32" t="s">
        <v>1891</v>
      </c>
      <c r="AN1282" s="32" t="s">
        <v>1892</v>
      </c>
      <c r="AO1282" s="38" t="s">
        <v>1893</v>
      </c>
      <c r="AP1282" s="35" t="s">
        <v>396</v>
      </c>
    </row>
    <row r="1283" spans="1:42" x14ac:dyDescent="0.2">
      <c r="A1283" s="40">
        <v>127</v>
      </c>
      <c r="B1283" s="40">
        <v>1282</v>
      </c>
      <c r="C1283" s="40" t="s">
        <v>357</v>
      </c>
      <c r="D1283" s="38" t="s">
        <v>49</v>
      </c>
      <c r="E1283" s="32" t="s">
        <v>2183</v>
      </c>
      <c r="F1283" s="32" t="s">
        <v>237</v>
      </c>
      <c r="G1283" s="38" t="s">
        <v>154</v>
      </c>
      <c r="H1283" s="32" t="s">
        <v>151</v>
      </c>
      <c r="I1283" s="32" t="s">
        <v>231</v>
      </c>
      <c r="J1283" s="32" t="s">
        <v>1301</v>
      </c>
      <c r="K1283" s="32" t="s">
        <v>1513</v>
      </c>
      <c r="L1283" s="32" t="s">
        <v>30</v>
      </c>
      <c r="M1283" s="32" t="s">
        <v>30</v>
      </c>
      <c r="N1283" s="40">
        <v>2010</v>
      </c>
      <c r="O1283" s="32">
        <f>VLOOKUP(Data!N1181, CPI!$A$2:$B$112, 2, 0)</f>
        <v>218.05600000000001</v>
      </c>
      <c r="P1283" s="32" t="s">
        <v>21</v>
      </c>
      <c r="Q1283" s="32" t="s">
        <v>239</v>
      </c>
      <c r="R1283" s="32" t="s">
        <v>1895</v>
      </c>
      <c r="S1283" s="32">
        <v>8790000</v>
      </c>
      <c r="T1283" s="32" t="s">
        <v>1896</v>
      </c>
      <c r="U1283" s="32">
        <f>S1283/AB1283</f>
        <v>439500</v>
      </c>
      <c r="V1283" s="32" t="s">
        <v>1487</v>
      </c>
      <c r="W1283" s="32">
        <f>VLOOKUP(N1283, 'Exchange rate- Vietnam'!$A$2:$B$65, 2, 0)</f>
        <v>18612.916666666701</v>
      </c>
      <c r="X1283" s="32">
        <f t="shared" si="78"/>
        <v>23.612634595151174</v>
      </c>
      <c r="Y1283" s="32">
        <f>(CPI!$B$112/O1283)*X1283</f>
        <v>32.992537547181577</v>
      </c>
      <c r="Z1283" s="38" t="s">
        <v>1609</v>
      </c>
      <c r="AA1283" s="35" t="s">
        <v>1894</v>
      </c>
      <c r="AB1283" s="32">
        <v>20</v>
      </c>
      <c r="AH1283" s="32" t="s">
        <v>411</v>
      </c>
      <c r="AI1283" s="32" t="s">
        <v>1897</v>
      </c>
      <c r="AK1283" s="40" t="s">
        <v>1898</v>
      </c>
      <c r="AL1283" s="32">
        <v>2010</v>
      </c>
      <c r="AM1283" s="32" t="s">
        <v>1899</v>
      </c>
      <c r="AN1283" s="32" t="s">
        <v>1900</v>
      </c>
      <c r="AO1283" s="38" t="s">
        <v>1901</v>
      </c>
      <c r="AP1283" s="35" t="s">
        <v>396</v>
      </c>
    </row>
    <row r="1284" spans="1:42" x14ac:dyDescent="0.2">
      <c r="A1284" s="40">
        <v>128</v>
      </c>
      <c r="B1284" s="40">
        <v>1283</v>
      </c>
      <c r="C1284" s="40" t="s">
        <v>39</v>
      </c>
      <c r="D1284" s="38" t="s">
        <v>38</v>
      </c>
      <c r="E1284" s="32" t="s">
        <v>2186</v>
      </c>
      <c r="F1284" s="32" t="s">
        <v>29</v>
      </c>
      <c r="G1284" s="38" t="s">
        <v>29</v>
      </c>
      <c r="H1284" s="32" t="s">
        <v>151</v>
      </c>
      <c r="I1284" s="32" t="s">
        <v>61</v>
      </c>
      <c r="J1284" s="32" t="s">
        <v>1902</v>
      </c>
      <c r="K1284" s="32" t="s">
        <v>1513</v>
      </c>
      <c r="L1284" s="32" t="s">
        <v>30</v>
      </c>
      <c r="M1284" s="32" t="s">
        <v>30</v>
      </c>
      <c r="N1284" s="40">
        <v>2022</v>
      </c>
      <c r="O1284" s="32">
        <f>VLOOKUP(Data!N1182, CPI!$A$2:$B$112, 2, 0)</f>
        <v>218.05600000000001</v>
      </c>
      <c r="P1284" s="32" t="s">
        <v>16</v>
      </c>
      <c r="Q1284" s="32" t="s">
        <v>239</v>
      </c>
      <c r="R1284" s="32" t="s">
        <v>1903</v>
      </c>
      <c r="S1284" s="32">
        <v>37520000</v>
      </c>
      <c r="T1284" s="32" t="s">
        <v>1487</v>
      </c>
      <c r="U1284" s="32">
        <v>37520000</v>
      </c>
      <c r="V1284" s="32" t="s">
        <v>1487</v>
      </c>
      <c r="W1284" s="32">
        <f>VLOOKUP(N1284, 'Exchange rate- Vietnam'!$A$2:$B$65, 2, 0)</f>
        <v>23190.406999999999</v>
      </c>
      <c r="X1284" s="32">
        <f t="shared" si="78"/>
        <v>1617.9103713013749</v>
      </c>
      <c r="Y1284" s="32">
        <f>(CPI!$B$112/O1284)*X1284</f>
        <v>2260.6104565771921</v>
      </c>
      <c r="Z1284" s="38" t="s">
        <v>1609</v>
      </c>
      <c r="AA1284" s="35" t="s">
        <v>1399</v>
      </c>
      <c r="AB1284" s="32" t="s">
        <v>30</v>
      </c>
      <c r="AH1284" s="32" t="s">
        <v>411</v>
      </c>
      <c r="AI1284" s="32" t="s">
        <v>1909</v>
      </c>
      <c r="AK1284" s="40" t="s">
        <v>1905</v>
      </c>
      <c r="AL1284" s="32">
        <v>2022</v>
      </c>
      <c r="AM1284" s="32" t="s">
        <v>1906</v>
      </c>
      <c r="AN1284" s="32" t="s">
        <v>1907</v>
      </c>
      <c r="AO1284" s="38" t="s">
        <v>1908</v>
      </c>
      <c r="AP1284" s="35" t="s">
        <v>396</v>
      </c>
    </row>
    <row r="1285" spans="1:42" x14ac:dyDescent="0.2">
      <c r="A1285" s="40">
        <v>128</v>
      </c>
      <c r="B1285" s="40">
        <v>1284</v>
      </c>
      <c r="C1285" s="40" t="s">
        <v>39</v>
      </c>
      <c r="D1285" s="38" t="s">
        <v>38</v>
      </c>
      <c r="E1285" s="32" t="s">
        <v>2186</v>
      </c>
      <c r="F1285" s="32" t="s">
        <v>29</v>
      </c>
      <c r="G1285" s="38" t="s">
        <v>29</v>
      </c>
      <c r="H1285" s="32" t="s">
        <v>151</v>
      </c>
      <c r="I1285" s="32" t="s">
        <v>61</v>
      </c>
      <c r="J1285" s="32" t="s">
        <v>1902</v>
      </c>
      <c r="K1285" s="32" t="s">
        <v>1513</v>
      </c>
      <c r="L1285" s="32" t="s">
        <v>30</v>
      </c>
      <c r="M1285" s="32" t="s">
        <v>30</v>
      </c>
      <c r="N1285" s="40">
        <v>2022</v>
      </c>
      <c r="O1285" s="32">
        <f>VLOOKUP(Data!N1183, CPI!$A$2:$B$112, 2, 0)</f>
        <v>218.05600000000001</v>
      </c>
      <c r="P1285" s="32" t="s">
        <v>16</v>
      </c>
      <c r="Q1285" s="32" t="s">
        <v>239</v>
      </c>
      <c r="R1285" s="32" t="s">
        <v>1904</v>
      </c>
      <c r="S1285" s="32">
        <v>66920000</v>
      </c>
      <c r="T1285" s="32" t="s">
        <v>1487</v>
      </c>
      <c r="U1285" s="32">
        <v>66920000</v>
      </c>
      <c r="V1285" s="32" t="s">
        <v>1487</v>
      </c>
      <c r="W1285" s="32">
        <f>VLOOKUP(N1285, 'Exchange rate- Vietnam'!$A$2:$B$65, 2, 0)</f>
        <v>23190.406999999999</v>
      </c>
      <c r="X1285" s="32">
        <f t="shared" si="78"/>
        <v>2885.6759607539448</v>
      </c>
      <c r="Y1285" s="32">
        <f>(CPI!$B$112/O1285)*X1285</f>
        <v>4031.9843218055889</v>
      </c>
      <c r="Z1285" s="38" t="s">
        <v>1609</v>
      </c>
      <c r="AA1285" s="35" t="s">
        <v>1399</v>
      </c>
      <c r="AB1285" s="32" t="s">
        <v>30</v>
      </c>
      <c r="AH1285" s="32" t="s">
        <v>411</v>
      </c>
      <c r="AI1285" s="32" t="s">
        <v>1909</v>
      </c>
      <c r="AK1285" s="40" t="s">
        <v>1905</v>
      </c>
      <c r="AL1285" s="32">
        <v>2022</v>
      </c>
      <c r="AM1285" s="32" t="s">
        <v>1906</v>
      </c>
      <c r="AN1285" s="32" t="s">
        <v>1907</v>
      </c>
      <c r="AO1285" s="38" t="s">
        <v>1908</v>
      </c>
      <c r="AP1285" s="35" t="s">
        <v>396</v>
      </c>
    </row>
    <row r="1286" spans="1:42" x14ac:dyDescent="0.2">
      <c r="A1286" s="40">
        <v>129</v>
      </c>
      <c r="B1286" s="40">
        <v>1285</v>
      </c>
      <c r="C1286" s="40" t="s">
        <v>149</v>
      </c>
      <c r="D1286" s="38" t="s">
        <v>45</v>
      </c>
      <c r="E1286" s="32" t="s">
        <v>2186</v>
      </c>
      <c r="F1286" s="32" t="s">
        <v>29</v>
      </c>
      <c r="G1286" s="38" t="s">
        <v>29</v>
      </c>
      <c r="H1286" s="32" t="s">
        <v>151</v>
      </c>
      <c r="I1286" s="32" t="s">
        <v>231</v>
      </c>
      <c r="J1286" s="32" t="s">
        <v>1910</v>
      </c>
      <c r="K1286" s="32" t="s">
        <v>1513</v>
      </c>
      <c r="L1286" s="32" t="s">
        <v>30</v>
      </c>
      <c r="M1286" s="32" t="s">
        <v>30</v>
      </c>
      <c r="N1286" s="40">
        <v>2020</v>
      </c>
      <c r="O1286" s="32">
        <f>VLOOKUP(Data!N911, CPI!$A$2:$B$112, 2, 0)</f>
        <v>177.1</v>
      </c>
      <c r="P1286" s="32" t="s">
        <v>21</v>
      </c>
      <c r="Q1286" s="32" t="s">
        <v>239</v>
      </c>
      <c r="R1286" s="32" t="s">
        <v>1913</v>
      </c>
      <c r="S1286" s="32">
        <v>214000</v>
      </c>
      <c r="T1286" s="32" t="s">
        <v>300</v>
      </c>
      <c r="U1286" s="32">
        <f t="shared" ref="U1286:U1294" si="79">S1286/AB1286</f>
        <v>9.8982423681776126</v>
      </c>
      <c r="V1286" s="32" t="s">
        <v>316</v>
      </c>
      <c r="X1286" s="32">
        <f t="shared" ref="X1286:X1294" si="80">U1286</f>
        <v>9.8982423681776126</v>
      </c>
      <c r="Y1286" s="32">
        <f>(CPI!$B$112/O1286)*X1286</f>
        <v>17.028595795870462</v>
      </c>
      <c r="Z1286" s="38" t="s">
        <v>262</v>
      </c>
      <c r="AA1286" s="35" t="s">
        <v>1447</v>
      </c>
      <c r="AB1286" s="32">
        <v>21620</v>
      </c>
      <c r="AC1286" s="32" t="s">
        <v>2727</v>
      </c>
      <c r="AH1286" s="32" t="s">
        <v>411</v>
      </c>
      <c r="AI1286" s="32" t="s">
        <v>1911</v>
      </c>
      <c r="AK1286" s="40" t="s">
        <v>1920</v>
      </c>
      <c r="AL1286" s="32">
        <v>2020</v>
      </c>
      <c r="AM1286" s="32" t="s">
        <v>1921</v>
      </c>
      <c r="AN1286" s="32" t="s">
        <v>1922</v>
      </c>
      <c r="AP1286" s="35" t="s">
        <v>396</v>
      </c>
    </row>
    <row r="1287" spans="1:42" x14ac:dyDescent="0.2">
      <c r="A1287" s="40">
        <v>129</v>
      </c>
      <c r="B1287" s="40">
        <v>1286</v>
      </c>
      <c r="C1287" s="40" t="s">
        <v>149</v>
      </c>
      <c r="D1287" s="38" t="s">
        <v>45</v>
      </c>
      <c r="E1287" s="32" t="s">
        <v>2186</v>
      </c>
      <c r="F1287" s="32" t="s">
        <v>29</v>
      </c>
      <c r="G1287" s="38" t="s">
        <v>29</v>
      </c>
      <c r="H1287" s="32" t="s">
        <v>151</v>
      </c>
      <c r="I1287" s="32" t="s">
        <v>231</v>
      </c>
      <c r="J1287" s="32" t="s">
        <v>1910</v>
      </c>
      <c r="K1287" s="32" t="s">
        <v>1513</v>
      </c>
      <c r="L1287" s="32" t="s">
        <v>30</v>
      </c>
      <c r="M1287" s="32" t="s">
        <v>30</v>
      </c>
      <c r="N1287" s="40">
        <v>2020</v>
      </c>
      <c r="O1287" s="32">
        <f>VLOOKUP(Data!N912, CPI!$A$2:$B$112, 2, 0)</f>
        <v>177.1</v>
      </c>
      <c r="P1287" s="32" t="s">
        <v>21</v>
      </c>
      <c r="Q1287" s="32" t="s">
        <v>239</v>
      </c>
      <c r="R1287" s="32" t="s">
        <v>1915</v>
      </c>
      <c r="S1287" s="32">
        <v>697000</v>
      </c>
      <c r="T1287" s="32" t="s">
        <v>300</v>
      </c>
      <c r="U1287" s="32">
        <f t="shared" si="79"/>
        <v>32.238667900092508</v>
      </c>
      <c r="V1287" s="32" t="s">
        <v>316</v>
      </c>
      <c r="X1287" s="32">
        <f t="shared" si="80"/>
        <v>32.238667900092508</v>
      </c>
      <c r="Y1287" s="32">
        <f>(CPI!$B$112/O1287)*X1287</f>
        <v>55.462295652905205</v>
      </c>
      <c r="Z1287" s="38" t="s">
        <v>262</v>
      </c>
      <c r="AA1287" s="35" t="s">
        <v>1447</v>
      </c>
      <c r="AB1287" s="32">
        <v>21620</v>
      </c>
      <c r="AC1287" s="32" t="s">
        <v>2727</v>
      </c>
      <c r="AH1287" s="32" t="s">
        <v>411</v>
      </c>
      <c r="AI1287" s="32" t="s">
        <v>1911</v>
      </c>
      <c r="AK1287" s="40" t="s">
        <v>1920</v>
      </c>
      <c r="AL1287" s="32">
        <v>2020</v>
      </c>
      <c r="AM1287" s="32" t="s">
        <v>1921</v>
      </c>
      <c r="AN1287" s="32" t="s">
        <v>1922</v>
      </c>
      <c r="AP1287" s="35" t="s">
        <v>396</v>
      </c>
    </row>
    <row r="1288" spans="1:42" x14ac:dyDescent="0.2">
      <c r="A1288" s="40">
        <v>129</v>
      </c>
      <c r="B1288" s="40">
        <v>1287</v>
      </c>
      <c r="C1288" s="40" t="s">
        <v>149</v>
      </c>
      <c r="D1288" s="38" t="s">
        <v>45</v>
      </c>
      <c r="E1288" s="32" t="s">
        <v>2183</v>
      </c>
      <c r="F1288" s="32" t="s">
        <v>237</v>
      </c>
      <c r="G1288" s="38" t="s">
        <v>154</v>
      </c>
      <c r="H1288" s="32" t="s">
        <v>151</v>
      </c>
      <c r="I1288" s="32" t="s">
        <v>231</v>
      </c>
      <c r="J1288" s="32" t="s">
        <v>1910</v>
      </c>
      <c r="K1288" s="32" t="s">
        <v>1513</v>
      </c>
      <c r="L1288" s="32" t="s">
        <v>30</v>
      </c>
      <c r="M1288" s="32" t="s">
        <v>30</v>
      </c>
      <c r="N1288" s="40">
        <v>2020</v>
      </c>
      <c r="O1288" s="32">
        <f>VLOOKUP(Data!N913, CPI!$A$2:$B$112, 2, 0)</f>
        <v>177.1</v>
      </c>
      <c r="P1288" s="32" t="s">
        <v>238</v>
      </c>
      <c r="Q1288" s="32" t="s">
        <v>239</v>
      </c>
      <c r="R1288" s="32" t="s">
        <v>1912</v>
      </c>
      <c r="S1288" s="32">
        <v>71777000</v>
      </c>
      <c r="T1288" s="32" t="s">
        <v>300</v>
      </c>
      <c r="U1288" s="32">
        <f t="shared" si="79"/>
        <v>3319.9352451433856</v>
      </c>
      <c r="V1288" s="32" t="s">
        <v>316</v>
      </c>
      <c r="X1288" s="32">
        <f t="shared" si="80"/>
        <v>3319.9352451433856</v>
      </c>
      <c r="Y1288" s="32">
        <f>(CPI!$B$112/O1288)*X1288</f>
        <v>5711.502431963524</v>
      </c>
      <c r="Z1288" s="38" t="s">
        <v>262</v>
      </c>
      <c r="AA1288" s="35" t="s">
        <v>1447</v>
      </c>
      <c r="AB1288" s="32">
        <v>21620</v>
      </c>
      <c r="AC1288" s="32" t="s">
        <v>2727</v>
      </c>
      <c r="AH1288" s="32" t="s">
        <v>411</v>
      </c>
      <c r="AK1288" s="40" t="s">
        <v>1920</v>
      </c>
      <c r="AL1288" s="32">
        <v>2020</v>
      </c>
      <c r="AM1288" s="32" t="s">
        <v>1921</v>
      </c>
      <c r="AN1288" s="32" t="s">
        <v>1922</v>
      </c>
      <c r="AP1288" s="35" t="s">
        <v>396</v>
      </c>
    </row>
    <row r="1289" spans="1:42" x14ac:dyDescent="0.2">
      <c r="A1289" s="40">
        <v>129</v>
      </c>
      <c r="B1289" s="40">
        <v>1288</v>
      </c>
      <c r="C1289" s="40" t="s">
        <v>149</v>
      </c>
      <c r="D1289" s="38" t="s">
        <v>45</v>
      </c>
      <c r="E1289" s="32" t="s">
        <v>2183</v>
      </c>
      <c r="F1289" s="32" t="s">
        <v>237</v>
      </c>
      <c r="G1289" s="38" t="s">
        <v>154</v>
      </c>
      <c r="H1289" s="32" t="s">
        <v>151</v>
      </c>
      <c r="I1289" s="32" t="s">
        <v>231</v>
      </c>
      <c r="J1289" s="32" t="s">
        <v>1910</v>
      </c>
      <c r="K1289" s="32" t="s">
        <v>1513</v>
      </c>
      <c r="L1289" s="32" t="s">
        <v>30</v>
      </c>
      <c r="M1289" s="32" t="s">
        <v>30</v>
      </c>
      <c r="N1289" s="40">
        <v>2020</v>
      </c>
      <c r="O1289" s="32">
        <f>VLOOKUP(Data!N914, CPI!$A$2:$B$112, 2, 0)</f>
        <v>177.1</v>
      </c>
      <c r="P1289" s="32" t="s">
        <v>238</v>
      </c>
      <c r="Q1289" s="32" t="s">
        <v>239</v>
      </c>
      <c r="R1289" s="32" t="s">
        <v>1914</v>
      </c>
      <c r="S1289" s="32">
        <v>3204000</v>
      </c>
      <c r="T1289" s="32" t="s">
        <v>300</v>
      </c>
      <c r="U1289" s="32">
        <f t="shared" si="79"/>
        <v>148.19611470860315</v>
      </c>
      <c r="V1289" s="32" t="s">
        <v>316</v>
      </c>
      <c r="X1289" s="32">
        <f t="shared" si="80"/>
        <v>148.19611470860315</v>
      </c>
      <c r="Y1289" s="32">
        <f>(CPI!$B$112/O1289)*X1289</f>
        <v>254.95149967275219</v>
      </c>
      <c r="Z1289" s="38" t="s">
        <v>262</v>
      </c>
      <c r="AA1289" s="35" t="s">
        <v>1447</v>
      </c>
      <c r="AB1289" s="32">
        <v>21620</v>
      </c>
      <c r="AC1289" s="32" t="s">
        <v>2727</v>
      </c>
      <c r="AH1289" s="32" t="s">
        <v>411</v>
      </c>
      <c r="AK1289" s="40" t="s">
        <v>1920</v>
      </c>
      <c r="AL1289" s="32">
        <v>2020</v>
      </c>
      <c r="AM1289" s="32" t="s">
        <v>1921</v>
      </c>
      <c r="AN1289" s="32" t="s">
        <v>1922</v>
      </c>
      <c r="AP1289" s="35" t="s">
        <v>396</v>
      </c>
    </row>
    <row r="1290" spans="1:42" x14ac:dyDescent="0.2">
      <c r="A1290" s="40">
        <v>129</v>
      </c>
      <c r="B1290" s="40">
        <v>1289</v>
      </c>
      <c r="C1290" s="40" t="s">
        <v>149</v>
      </c>
      <c r="D1290" s="38" t="s">
        <v>45</v>
      </c>
      <c r="E1290" s="32" t="s">
        <v>2887</v>
      </c>
      <c r="F1290" s="32" t="s">
        <v>121</v>
      </c>
      <c r="G1290" s="38" t="s">
        <v>123</v>
      </c>
      <c r="H1290" s="32" t="s">
        <v>151</v>
      </c>
      <c r="I1290" s="32" t="s">
        <v>231</v>
      </c>
      <c r="J1290" s="32" t="s">
        <v>1910</v>
      </c>
      <c r="K1290" s="32" t="s">
        <v>1513</v>
      </c>
      <c r="L1290" s="32" t="s">
        <v>30</v>
      </c>
      <c r="M1290" s="32" t="s">
        <v>30</v>
      </c>
      <c r="N1290" s="40">
        <v>2020</v>
      </c>
      <c r="O1290" s="32">
        <f>VLOOKUP(Data!N915, CPI!$A$2:$B$112, 2, 0)</f>
        <v>236.73599999999999</v>
      </c>
      <c r="P1290" s="32" t="s">
        <v>160</v>
      </c>
      <c r="Q1290" s="32" t="s">
        <v>239</v>
      </c>
      <c r="R1290" s="32" t="s">
        <v>1916</v>
      </c>
      <c r="S1290" s="32">
        <v>383000</v>
      </c>
      <c r="T1290" s="32" t="s">
        <v>300</v>
      </c>
      <c r="U1290" s="32">
        <f t="shared" si="79"/>
        <v>17.715078630897317</v>
      </c>
      <c r="V1290" s="32" t="s">
        <v>316</v>
      </c>
      <c r="X1290" s="32">
        <f t="shared" si="80"/>
        <v>17.715078630897317</v>
      </c>
      <c r="Y1290" s="32">
        <f>(CPI!$B$112/O1290)*X1290</f>
        <v>22.799120468607416</v>
      </c>
      <c r="Z1290" s="38" t="s">
        <v>262</v>
      </c>
      <c r="AA1290" s="35" t="s">
        <v>1447</v>
      </c>
      <c r="AB1290" s="32">
        <v>21620</v>
      </c>
      <c r="AC1290" s="32" t="s">
        <v>2727</v>
      </c>
      <c r="AH1290" s="32" t="s">
        <v>411</v>
      </c>
      <c r="AK1290" s="40" t="s">
        <v>1920</v>
      </c>
      <c r="AL1290" s="32">
        <v>2020</v>
      </c>
      <c r="AM1290" s="32" t="s">
        <v>1921</v>
      </c>
      <c r="AN1290" s="32" t="s">
        <v>1922</v>
      </c>
      <c r="AP1290" s="35" t="s">
        <v>396</v>
      </c>
    </row>
    <row r="1291" spans="1:42" x14ac:dyDescent="0.2">
      <c r="A1291" s="40">
        <v>129</v>
      </c>
      <c r="B1291" s="40">
        <v>1290</v>
      </c>
      <c r="C1291" s="40" t="s">
        <v>149</v>
      </c>
      <c r="D1291" s="38" t="s">
        <v>45</v>
      </c>
      <c r="E1291" s="32" t="s">
        <v>2184</v>
      </c>
      <c r="F1291" s="32" t="s">
        <v>131</v>
      </c>
      <c r="G1291" s="38" t="s">
        <v>133</v>
      </c>
      <c r="H1291" s="32" t="s">
        <v>151</v>
      </c>
      <c r="I1291" s="32" t="s">
        <v>231</v>
      </c>
      <c r="J1291" s="32" t="s">
        <v>1910</v>
      </c>
      <c r="K1291" s="32" t="s">
        <v>1513</v>
      </c>
      <c r="L1291" s="32" t="s">
        <v>30</v>
      </c>
      <c r="M1291" s="32" t="s">
        <v>30</v>
      </c>
      <c r="N1291" s="40">
        <v>2020</v>
      </c>
      <c r="O1291" s="32">
        <f>VLOOKUP(Data!N916, CPI!$A$2:$B$112, 2, 0)</f>
        <v>236.73599999999999</v>
      </c>
      <c r="P1291" s="32" t="s">
        <v>132</v>
      </c>
      <c r="Q1291" s="32" t="s">
        <v>239</v>
      </c>
      <c r="R1291" s="32" t="s">
        <v>1408</v>
      </c>
      <c r="S1291" s="32">
        <v>542000</v>
      </c>
      <c r="T1291" s="32" t="s">
        <v>300</v>
      </c>
      <c r="U1291" s="32">
        <f t="shared" si="79"/>
        <v>25.069380203515262</v>
      </c>
      <c r="V1291" s="32" t="s">
        <v>316</v>
      </c>
      <c r="X1291" s="32">
        <f t="shared" si="80"/>
        <v>25.069380203515262</v>
      </c>
      <c r="Y1291" s="32">
        <f>(CPI!$B$112/O1291)*X1291</f>
        <v>32.26402948821206</v>
      </c>
      <c r="Z1291" s="38" t="s">
        <v>262</v>
      </c>
      <c r="AA1291" s="35" t="s">
        <v>1447</v>
      </c>
      <c r="AB1291" s="32">
        <v>21620</v>
      </c>
      <c r="AC1291" s="32" t="s">
        <v>2727</v>
      </c>
      <c r="AH1291" s="32" t="s">
        <v>411</v>
      </c>
      <c r="AK1291" s="40" t="s">
        <v>1920</v>
      </c>
      <c r="AL1291" s="32">
        <v>2020</v>
      </c>
      <c r="AM1291" s="32" t="s">
        <v>1921</v>
      </c>
      <c r="AN1291" s="32" t="s">
        <v>1922</v>
      </c>
      <c r="AP1291" s="35" t="s">
        <v>396</v>
      </c>
    </row>
    <row r="1292" spans="1:42" x14ac:dyDescent="0.2">
      <c r="A1292" s="40">
        <v>129</v>
      </c>
      <c r="B1292" s="40">
        <v>1291</v>
      </c>
      <c r="C1292" s="40" t="s">
        <v>149</v>
      </c>
      <c r="D1292" s="38" t="s">
        <v>45</v>
      </c>
      <c r="E1292" s="32" t="s">
        <v>2184</v>
      </c>
      <c r="F1292" s="32" t="s">
        <v>110</v>
      </c>
      <c r="G1292" s="38" t="s">
        <v>112</v>
      </c>
      <c r="H1292" s="32" t="s">
        <v>151</v>
      </c>
      <c r="I1292" s="32" t="s">
        <v>231</v>
      </c>
      <c r="J1292" s="32" t="s">
        <v>1910</v>
      </c>
      <c r="K1292" s="32" t="s">
        <v>1513</v>
      </c>
      <c r="L1292" s="32" t="s">
        <v>30</v>
      </c>
      <c r="M1292" s="32" t="s">
        <v>30</v>
      </c>
      <c r="N1292" s="40">
        <v>2020</v>
      </c>
      <c r="O1292" s="32">
        <f>VLOOKUP(Data!N917, CPI!$A$2:$B$112, 2, 0)</f>
        <v>236.73599999999999</v>
      </c>
      <c r="P1292" s="32" t="s">
        <v>132</v>
      </c>
      <c r="Q1292" s="32" t="s">
        <v>239</v>
      </c>
      <c r="R1292" s="32" t="s">
        <v>1917</v>
      </c>
      <c r="S1292" s="32">
        <v>107000</v>
      </c>
      <c r="T1292" s="32" t="s">
        <v>300</v>
      </c>
      <c r="U1292" s="32">
        <f t="shared" si="79"/>
        <v>4.9491211840888063</v>
      </c>
      <c r="V1292" s="32" t="s">
        <v>316</v>
      </c>
      <c r="X1292" s="32">
        <f t="shared" si="80"/>
        <v>4.9491211840888063</v>
      </c>
      <c r="Y1292" s="32">
        <f>(CPI!$B$112/O1292)*X1292</f>
        <v>6.3694670760861447</v>
      </c>
      <c r="Z1292" s="38" t="s">
        <v>262</v>
      </c>
      <c r="AA1292" s="35" t="s">
        <v>1447</v>
      </c>
      <c r="AB1292" s="32">
        <v>21620</v>
      </c>
      <c r="AC1292" s="32" t="s">
        <v>2727</v>
      </c>
      <c r="AH1292" s="32" t="s">
        <v>411</v>
      </c>
      <c r="AK1292" s="40" t="s">
        <v>1920</v>
      </c>
      <c r="AL1292" s="32">
        <v>2020</v>
      </c>
      <c r="AM1292" s="32" t="s">
        <v>1921</v>
      </c>
      <c r="AN1292" s="32" t="s">
        <v>1922</v>
      </c>
      <c r="AP1292" s="35" t="s">
        <v>396</v>
      </c>
    </row>
    <row r="1293" spans="1:42" x14ac:dyDescent="0.2">
      <c r="A1293" s="40">
        <v>129</v>
      </c>
      <c r="B1293" s="40">
        <v>1292</v>
      </c>
      <c r="C1293" s="40" t="s">
        <v>149</v>
      </c>
      <c r="D1293" s="38" t="s">
        <v>45</v>
      </c>
      <c r="E1293" s="32" t="s">
        <v>2185</v>
      </c>
      <c r="F1293" s="32" t="s">
        <v>2894</v>
      </c>
      <c r="G1293" s="38" t="s">
        <v>142</v>
      </c>
      <c r="H1293" s="32" t="s">
        <v>151</v>
      </c>
      <c r="I1293" s="32" t="s">
        <v>231</v>
      </c>
      <c r="J1293" s="32" t="s">
        <v>1910</v>
      </c>
      <c r="K1293" s="32" t="s">
        <v>1513</v>
      </c>
      <c r="L1293" s="32" t="s">
        <v>30</v>
      </c>
      <c r="M1293" s="32" t="s">
        <v>30</v>
      </c>
      <c r="N1293" s="40">
        <v>2020</v>
      </c>
      <c r="O1293" s="32">
        <f>VLOOKUP(Data!N918, CPI!$A$2:$B$112, 2, 0)</f>
        <v>236.73599999999999</v>
      </c>
      <c r="P1293" s="32" t="s">
        <v>122</v>
      </c>
      <c r="Q1293" s="32" t="s">
        <v>239</v>
      </c>
      <c r="R1293" s="32" t="s">
        <v>1918</v>
      </c>
      <c r="S1293" s="32">
        <v>367000</v>
      </c>
      <c r="T1293" s="32" t="s">
        <v>300</v>
      </c>
      <c r="U1293" s="32">
        <f t="shared" si="79"/>
        <v>16.975023126734506</v>
      </c>
      <c r="V1293" s="32" t="s">
        <v>316</v>
      </c>
      <c r="X1293" s="32">
        <f t="shared" si="80"/>
        <v>16.975023126734506</v>
      </c>
      <c r="Y1293" s="32">
        <f>(CPI!$B$112/O1293)*X1293</f>
        <v>21.846676793678647</v>
      </c>
      <c r="Z1293" s="38" t="s">
        <v>262</v>
      </c>
      <c r="AA1293" s="35" t="s">
        <v>1447</v>
      </c>
      <c r="AB1293" s="32">
        <v>21620</v>
      </c>
      <c r="AC1293" s="32" t="s">
        <v>2727</v>
      </c>
      <c r="AH1293" s="32" t="s">
        <v>411</v>
      </c>
      <c r="AK1293" s="40" t="s">
        <v>1920</v>
      </c>
      <c r="AL1293" s="32">
        <v>2020</v>
      </c>
      <c r="AM1293" s="32" t="s">
        <v>1921</v>
      </c>
      <c r="AN1293" s="32" t="s">
        <v>1922</v>
      </c>
      <c r="AP1293" s="35" t="s">
        <v>396</v>
      </c>
    </row>
    <row r="1294" spans="1:42" x14ac:dyDescent="0.2">
      <c r="A1294" s="40">
        <v>129</v>
      </c>
      <c r="B1294" s="40">
        <v>1293</v>
      </c>
      <c r="C1294" s="40" t="s">
        <v>149</v>
      </c>
      <c r="D1294" s="38" t="s">
        <v>45</v>
      </c>
      <c r="E1294" s="32" t="s">
        <v>2186</v>
      </c>
      <c r="F1294" s="32" t="s">
        <v>29</v>
      </c>
      <c r="G1294" s="38" t="s">
        <v>29</v>
      </c>
      <c r="H1294" s="32" t="s">
        <v>151</v>
      </c>
      <c r="I1294" s="32" t="s">
        <v>231</v>
      </c>
      <c r="J1294" s="32" t="s">
        <v>1910</v>
      </c>
      <c r="K1294" s="32" t="s">
        <v>1513</v>
      </c>
      <c r="L1294" s="32" t="s">
        <v>30</v>
      </c>
      <c r="M1294" s="32" t="s">
        <v>30</v>
      </c>
      <c r="N1294" s="40">
        <v>2020</v>
      </c>
      <c r="O1294" s="32">
        <f>VLOOKUP(Data!N919, CPI!$A$2:$B$112, 2, 0)</f>
        <v>236.73599999999999</v>
      </c>
      <c r="P1294" s="32" t="s">
        <v>134</v>
      </c>
      <c r="Q1294" s="32" t="s">
        <v>239</v>
      </c>
      <c r="R1294" s="32" t="s">
        <v>1919</v>
      </c>
      <c r="S1294" s="32">
        <v>77291000</v>
      </c>
      <c r="T1294" s="32" t="s">
        <v>300</v>
      </c>
      <c r="U1294" s="32">
        <f t="shared" si="79"/>
        <v>3574.9768732654948</v>
      </c>
      <c r="V1294" s="32" t="s">
        <v>316</v>
      </c>
      <c r="X1294" s="32">
        <f t="shared" si="80"/>
        <v>3574.9768732654948</v>
      </c>
      <c r="Y1294" s="32">
        <f>(CPI!$B$112/O1294)*X1294</f>
        <v>4600.9577549324695</v>
      </c>
      <c r="Z1294" s="38" t="s">
        <v>262</v>
      </c>
      <c r="AA1294" s="35" t="s">
        <v>1447</v>
      </c>
      <c r="AB1294" s="32">
        <v>21620</v>
      </c>
      <c r="AC1294" s="32" t="s">
        <v>2727</v>
      </c>
      <c r="AH1294" s="32" t="s">
        <v>411</v>
      </c>
      <c r="AK1294" s="40" t="s">
        <v>1920</v>
      </c>
      <c r="AL1294" s="32">
        <v>2020</v>
      </c>
      <c r="AM1294" s="32" t="s">
        <v>1921</v>
      </c>
      <c r="AN1294" s="32" t="s">
        <v>1922</v>
      </c>
      <c r="AP1294" s="35" t="s">
        <v>396</v>
      </c>
    </row>
    <row r="1295" spans="1:42" x14ac:dyDescent="0.2">
      <c r="A1295" s="40">
        <v>130</v>
      </c>
      <c r="B1295" s="40">
        <v>1294</v>
      </c>
      <c r="C1295" s="40" t="s">
        <v>39</v>
      </c>
      <c r="D1295" s="38" t="s">
        <v>38</v>
      </c>
      <c r="E1295" s="32" t="s">
        <v>2183</v>
      </c>
      <c r="F1295" s="32" t="s">
        <v>237</v>
      </c>
      <c r="G1295" s="38" t="s">
        <v>1923</v>
      </c>
      <c r="H1295" s="32" t="s">
        <v>151</v>
      </c>
      <c r="I1295" s="32" t="s">
        <v>231</v>
      </c>
      <c r="J1295" s="32" t="s">
        <v>1514</v>
      </c>
      <c r="K1295" s="32" t="s">
        <v>1513</v>
      </c>
      <c r="L1295" s="32" t="s">
        <v>30</v>
      </c>
      <c r="M1295" s="32" t="s">
        <v>30</v>
      </c>
      <c r="N1295" s="40">
        <v>2018</v>
      </c>
      <c r="O1295" s="32">
        <f>VLOOKUP(Data!N1184, CPI!$A$2:$B$112, 2, 0)</f>
        <v>218.05600000000001</v>
      </c>
      <c r="P1295" s="32" t="s">
        <v>122</v>
      </c>
      <c r="Q1295" s="32" t="s">
        <v>4</v>
      </c>
      <c r="R1295" s="32" t="s">
        <v>1925</v>
      </c>
      <c r="S1295" s="32">
        <v>11729</v>
      </c>
      <c r="T1295" s="32" t="s">
        <v>1305</v>
      </c>
      <c r="U1295" s="32">
        <v>11729</v>
      </c>
      <c r="V1295" s="32" t="s">
        <v>1487</v>
      </c>
      <c r="W1295" s="32">
        <f>VLOOKUP(N1295, 'Exchange rate- Vietnam'!$A$2:$B$65, 2, 0)</f>
        <v>22602.05</v>
      </c>
      <c r="X1295" s="32">
        <f t="shared" ref="X1295:X1301" si="81">U1295/W1295</f>
        <v>0.51893522932654346</v>
      </c>
      <c r="Y1295" s="32">
        <f>(CPI!$B$112/O1295)*X1295</f>
        <v>0.725077499044814</v>
      </c>
      <c r="Z1295" s="38" t="s">
        <v>1609</v>
      </c>
      <c r="AA1295" s="35" t="s">
        <v>1446</v>
      </c>
      <c r="AB1295" s="32">
        <f t="shared" ref="AB1295:AB1300" si="82">76578+54533+15880</f>
        <v>146991</v>
      </c>
      <c r="AH1295" s="32" t="s">
        <v>411</v>
      </c>
      <c r="AI1295" s="32" t="s">
        <v>1930</v>
      </c>
      <c r="AK1295" s="40" t="s">
        <v>1931</v>
      </c>
      <c r="AL1295" s="32">
        <v>2019</v>
      </c>
      <c r="AM1295" s="32" t="s">
        <v>1932</v>
      </c>
      <c r="AN1295" s="32" t="s">
        <v>1933</v>
      </c>
      <c r="AO1295" s="38" t="s">
        <v>1934</v>
      </c>
      <c r="AP1295" s="35" t="s">
        <v>396</v>
      </c>
    </row>
    <row r="1296" spans="1:42" x14ac:dyDescent="0.2">
      <c r="A1296" s="40">
        <v>130</v>
      </c>
      <c r="B1296" s="40">
        <v>1295</v>
      </c>
      <c r="C1296" s="40" t="s">
        <v>39</v>
      </c>
      <c r="D1296" s="38" t="s">
        <v>38</v>
      </c>
      <c r="E1296" s="32" t="s">
        <v>2183</v>
      </c>
      <c r="F1296" s="32" t="s">
        <v>237</v>
      </c>
      <c r="G1296" s="38" t="s">
        <v>1923</v>
      </c>
      <c r="H1296" s="32" t="s">
        <v>151</v>
      </c>
      <c r="I1296" s="32" t="s">
        <v>231</v>
      </c>
      <c r="J1296" s="32" t="s">
        <v>1514</v>
      </c>
      <c r="K1296" s="32" t="s">
        <v>1513</v>
      </c>
      <c r="L1296" s="32" t="s">
        <v>30</v>
      </c>
      <c r="M1296" s="32" t="s">
        <v>30</v>
      </c>
      <c r="N1296" s="40">
        <v>2018</v>
      </c>
      <c r="O1296" s="32">
        <f>VLOOKUP(Data!N1185, CPI!$A$2:$B$112, 2, 0)</f>
        <v>218.05600000000001</v>
      </c>
      <c r="P1296" s="32" t="s">
        <v>122</v>
      </c>
      <c r="Q1296" s="32" t="s">
        <v>4</v>
      </c>
      <c r="R1296" s="32" t="s">
        <v>1927</v>
      </c>
      <c r="S1296" s="32">
        <v>12433</v>
      </c>
      <c r="T1296" s="32" t="s">
        <v>1305</v>
      </c>
      <c r="U1296" s="32">
        <v>12433</v>
      </c>
      <c r="V1296" s="32" t="s">
        <v>1487</v>
      </c>
      <c r="W1296" s="32">
        <f>VLOOKUP(N1296, 'Exchange rate- Vietnam'!$A$2:$B$65, 2, 0)</f>
        <v>22602.05</v>
      </c>
      <c r="X1296" s="32">
        <f t="shared" si="81"/>
        <v>0.55008284646746641</v>
      </c>
      <c r="Y1296" s="32">
        <f>(CPI!$B$112/O1296)*X1296</f>
        <v>0.76859822198176919</v>
      </c>
      <c r="Z1296" s="38" t="s">
        <v>1609</v>
      </c>
      <c r="AA1296" s="35" t="s">
        <v>1446</v>
      </c>
      <c r="AB1296" s="32">
        <f t="shared" si="82"/>
        <v>146991</v>
      </c>
      <c r="AH1296" s="32" t="s">
        <v>411</v>
      </c>
      <c r="AI1296" s="32" t="s">
        <v>1930</v>
      </c>
      <c r="AK1296" s="40" t="s">
        <v>1931</v>
      </c>
      <c r="AL1296" s="32">
        <v>2019</v>
      </c>
      <c r="AM1296" s="32" t="s">
        <v>1932</v>
      </c>
      <c r="AN1296" s="32" t="s">
        <v>1933</v>
      </c>
      <c r="AO1296" s="38" t="s">
        <v>1934</v>
      </c>
      <c r="AP1296" s="35" t="s">
        <v>396</v>
      </c>
    </row>
    <row r="1297" spans="1:42" x14ac:dyDescent="0.2">
      <c r="A1297" s="40">
        <v>130</v>
      </c>
      <c r="B1297" s="40">
        <v>1296</v>
      </c>
      <c r="C1297" s="40" t="s">
        <v>39</v>
      </c>
      <c r="D1297" s="38" t="s">
        <v>38</v>
      </c>
      <c r="E1297" s="32" t="s">
        <v>2183</v>
      </c>
      <c r="F1297" s="32" t="s">
        <v>237</v>
      </c>
      <c r="G1297" s="38" t="s">
        <v>1923</v>
      </c>
      <c r="H1297" s="32" t="s">
        <v>151</v>
      </c>
      <c r="I1297" s="32" t="s">
        <v>231</v>
      </c>
      <c r="J1297" s="32" t="s">
        <v>1514</v>
      </c>
      <c r="K1297" s="32" t="s">
        <v>1513</v>
      </c>
      <c r="L1297" s="32" t="s">
        <v>30</v>
      </c>
      <c r="M1297" s="32" t="s">
        <v>30</v>
      </c>
      <c r="N1297" s="40">
        <v>2018</v>
      </c>
      <c r="O1297" s="32">
        <f>VLOOKUP(Data!N1186, CPI!$A$2:$B$112, 2, 0)</f>
        <v>218.05600000000001</v>
      </c>
      <c r="P1297" s="32" t="s">
        <v>122</v>
      </c>
      <c r="Q1297" s="32" t="s">
        <v>4</v>
      </c>
      <c r="R1297" s="32" t="s">
        <v>1929</v>
      </c>
      <c r="S1297" s="32">
        <v>12750</v>
      </c>
      <c r="T1297" s="32" t="s">
        <v>1305</v>
      </c>
      <c r="U1297" s="32">
        <v>12750</v>
      </c>
      <c r="V1297" s="32" t="s">
        <v>1487</v>
      </c>
      <c r="W1297" s="32">
        <f>VLOOKUP(N1297, 'Exchange rate- Vietnam'!$A$2:$B$65, 2, 0)</f>
        <v>22602.05</v>
      </c>
      <c r="X1297" s="32">
        <f t="shared" si="81"/>
        <v>0.56410812293575141</v>
      </c>
      <c r="Y1297" s="32">
        <f>(CPI!$B$112/O1297)*X1297</f>
        <v>0.78819491114514262</v>
      </c>
      <c r="Z1297" s="38" t="s">
        <v>1609</v>
      </c>
      <c r="AA1297" s="35" t="s">
        <v>1446</v>
      </c>
      <c r="AB1297" s="32">
        <f t="shared" si="82"/>
        <v>146991</v>
      </c>
      <c r="AH1297" s="32" t="s">
        <v>411</v>
      </c>
      <c r="AI1297" s="32" t="s">
        <v>1930</v>
      </c>
      <c r="AK1297" s="40" t="s">
        <v>1931</v>
      </c>
      <c r="AL1297" s="32">
        <v>2019</v>
      </c>
      <c r="AM1297" s="32" t="s">
        <v>1932</v>
      </c>
      <c r="AN1297" s="32" t="s">
        <v>1933</v>
      </c>
      <c r="AO1297" s="38" t="s">
        <v>1934</v>
      </c>
      <c r="AP1297" s="35" t="s">
        <v>396</v>
      </c>
    </row>
    <row r="1298" spans="1:42" x14ac:dyDescent="0.2">
      <c r="A1298" s="40">
        <v>130</v>
      </c>
      <c r="B1298" s="40">
        <v>1297</v>
      </c>
      <c r="C1298" s="40" t="s">
        <v>39</v>
      </c>
      <c r="D1298" s="38" t="s">
        <v>38</v>
      </c>
      <c r="E1298" s="32" t="s">
        <v>2183</v>
      </c>
      <c r="F1298" s="32" t="s">
        <v>237</v>
      </c>
      <c r="G1298" s="38" t="s">
        <v>1923</v>
      </c>
      <c r="H1298" s="32" t="s">
        <v>151</v>
      </c>
      <c r="I1298" s="32" t="s">
        <v>231</v>
      </c>
      <c r="J1298" s="32" t="s">
        <v>1514</v>
      </c>
      <c r="K1298" s="32" t="s">
        <v>1513</v>
      </c>
      <c r="L1298" s="32" t="s">
        <v>30</v>
      </c>
      <c r="M1298" s="32" t="s">
        <v>30</v>
      </c>
      <c r="N1298" s="40">
        <v>2018</v>
      </c>
      <c r="O1298" s="32">
        <f>VLOOKUP(Data!N1187, CPI!$A$2:$B$112, 2, 0)</f>
        <v>218.05600000000001</v>
      </c>
      <c r="P1298" s="32" t="s">
        <v>122</v>
      </c>
      <c r="Q1298" s="32" t="s">
        <v>4</v>
      </c>
      <c r="R1298" s="32" t="s">
        <v>1924</v>
      </c>
      <c r="S1298" s="32">
        <v>11629</v>
      </c>
      <c r="T1298" s="32" t="s">
        <v>1305</v>
      </c>
      <c r="U1298" s="32">
        <v>11629</v>
      </c>
      <c r="V1298" s="32" t="s">
        <v>1487</v>
      </c>
      <c r="W1298" s="32">
        <f>VLOOKUP(N1298, 'Exchange rate- Vietnam'!$A$2:$B$65, 2, 0)</f>
        <v>22602.05</v>
      </c>
      <c r="X1298" s="32">
        <f t="shared" si="81"/>
        <v>0.51451085189175316</v>
      </c>
      <c r="Y1298" s="32">
        <f>(CPI!$B$112/O1298)*X1298</f>
        <v>0.71889557817308725</v>
      </c>
      <c r="Z1298" s="38" t="s">
        <v>1609</v>
      </c>
      <c r="AA1298" s="35" t="s">
        <v>1446</v>
      </c>
      <c r="AB1298" s="32">
        <f t="shared" si="82"/>
        <v>146991</v>
      </c>
      <c r="AC1298" s="32" t="s">
        <v>2728</v>
      </c>
      <c r="AH1298" s="32" t="s">
        <v>411</v>
      </c>
      <c r="AK1298" s="40" t="s">
        <v>1931</v>
      </c>
      <c r="AL1298" s="32">
        <v>2019</v>
      </c>
      <c r="AM1298" s="32" t="s">
        <v>1932</v>
      </c>
      <c r="AN1298" s="32" t="s">
        <v>1933</v>
      </c>
      <c r="AO1298" s="38" t="s">
        <v>1934</v>
      </c>
      <c r="AP1298" s="35" t="s">
        <v>396</v>
      </c>
    </row>
    <row r="1299" spans="1:42" x14ac:dyDescent="0.2">
      <c r="A1299" s="40">
        <v>130</v>
      </c>
      <c r="B1299" s="40">
        <v>1298</v>
      </c>
      <c r="C1299" s="40" t="s">
        <v>39</v>
      </c>
      <c r="D1299" s="38" t="s">
        <v>38</v>
      </c>
      <c r="E1299" s="32" t="s">
        <v>2183</v>
      </c>
      <c r="F1299" s="32" t="s">
        <v>237</v>
      </c>
      <c r="G1299" s="38" t="s">
        <v>1923</v>
      </c>
      <c r="H1299" s="32" t="s">
        <v>151</v>
      </c>
      <c r="I1299" s="32" t="s">
        <v>231</v>
      </c>
      <c r="J1299" s="32" t="s">
        <v>1514</v>
      </c>
      <c r="K1299" s="32" t="s">
        <v>1513</v>
      </c>
      <c r="L1299" s="32" t="s">
        <v>30</v>
      </c>
      <c r="M1299" s="32" t="s">
        <v>30</v>
      </c>
      <c r="N1299" s="40">
        <v>2018</v>
      </c>
      <c r="O1299" s="32">
        <f>VLOOKUP(Data!N1188, CPI!$A$2:$B$112, 2, 0)</f>
        <v>218.05600000000001</v>
      </c>
      <c r="P1299" s="32" t="s">
        <v>122</v>
      </c>
      <c r="Q1299" s="32" t="s">
        <v>4</v>
      </c>
      <c r="R1299" s="32" t="s">
        <v>1926</v>
      </c>
      <c r="S1299" s="32">
        <v>12200</v>
      </c>
      <c r="T1299" s="32" t="s">
        <v>1305</v>
      </c>
      <c r="U1299" s="32">
        <v>12200</v>
      </c>
      <c r="V1299" s="32" t="s">
        <v>1487</v>
      </c>
      <c r="W1299" s="32">
        <f>VLOOKUP(N1299, 'Exchange rate- Vietnam'!$A$2:$B$65, 2, 0)</f>
        <v>22602.05</v>
      </c>
      <c r="X1299" s="32">
        <f t="shared" si="81"/>
        <v>0.53977404704440524</v>
      </c>
      <c r="Y1299" s="32">
        <f>(CPI!$B$112/O1299)*X1299</f>
        <v>0.75419434635064619</v>
      </c>
      <c r="Z1299" s="38" t="s">
        <v>1609</v>
      </c>
      <c r="AA1299" s="35" t="s">
        <v>1446</v>
      </c>
      <c r="AB1299" s="32">
        <f t="shared" si="82"/>
        <v>146991</v>
      </c>
      <c r="AH1299" s="32" t="s">
        <v>411</v>
      </c>
      <c r="AK1299" s="40" t="s">
        <v>1931</v>
      </c>
      <c r="AL1299" s="32">
        <v>2019</v>
      </c>
      <c r="AM1299" s="32" t="s">
        <v>1932</v>
      </c>
      <c r="AN1299" s="32" t="s">
        <v>1933</v>
      </c>
      <c r="AO1299" s="38" t="s">
        <v>1934</v>
      </c>
      <c r="AP1299" s="35" t="s">
        <v>396</v>
      </c>
    </row>
    <row r="1300" spans="1:42" x14ac:dyDescent="0.2">
      <c r="A1300" s="40">
        <v>130</v>
      </c>
      <c r="B1300" s="40">
        <v>1299</v>
      </c>
      <c r="C1300" s="40" t="s">
        <v>39</v>
      </c>
      <c r="D1300" s="38" t="s">
        <v>38</v>
      </c>
      <c r="E1300" s="32" t="s">
        <v>2183</v>
      </c>
      <c r="F1300" s="32" t="s">
        <v>237</v>
      </c>
      <c r="G1300" s="38" t="s">
        <v>1923</v>
      </c>
      <c r="H1300" s="32" t="s">
        <v>151</v>
      </c>
      <c r="I1300" s="32" t="s">
        <v>231</v>
      </c>
      <c r="J1300" s="32" t="s">
        <v>1514</v>
      </c>
      <c r="K1300" s="32" t="s">
        <v>1513</v>
      </c>
      <c r="L1300" s="32" t="s">
        <v>30</v>
      </c>
      <c r="M1300" s="32" t="s">
        <v>30</v>
      </c>
      <c r="N1300" s="40">
        <v>2018</v>
      </c>
      <c r="O1300" s="32">
        <f>VLOOKUP(Data!N1189, CPI!$A$2:$B$112, 2, 0)</f>
        <v>218.05600000000001</v>
      </c>
      <c r="P1300" s="32" t="s">
        <v>122</v>
      </c>
      <c r="Q1300" s="32" t="s">
        <v>4</v>
      </c>
      <c r="R1300" s="32" t="s">
        <v>1928</v>
      </c>
      <c r="S1300" s="32">
        <v>12750</v>
      </c>
      <c r="T1300" s="32" t="s">
        <v>1305</v>
      </c>
      <c r="U1300" s="32">
        <v>12750</v>
      </c>
      <c r="V1300" s="32" t="s">
        <v>1487</v>
      </c>
      <c r="W1300" s="32">
        <f>VLOOKUP(N1300, 'Exchange rate- Vietnam'!$A$2:$B$65, 2, 0)</f>
        <v>22602.05</v>
      </c>
      <c r="X1300" s="32">
        <f t="shared" si="81"/>
        <v>0.56410812293575141</v>
      </c>
      <c r="Y1300" s="32">
        <f>(CPI!$B$112/O1300)*X1300</f>
        <v>0.78819491114514262</v>
      </c>
      <c r="Z1300" s="38" t="s">
        <v>1609</v>
      </c>
      <c r="AA1300" s="35" t="s">
        <v>1446</v>
      </c>
      <c r="AB1300" s="32">
        <f t="shared" si="82"/>
        <v>146991</v>
      </c>
      <c r="AH1300" s="32" t="s">
        <v>411</v>
      </c>
      <c r="AK1300" s="40" t="s">
        <v>1931</v>
      </c>
      <c r="AL1300" s="32">
        <v>2019</v>
      </c>
      <c r="AM1300" s="32" t="s">
        <v>1932</v>
      </c>
      <c r="AN1300" s="32" t="s">
        <v>1933</v>
      </c>
      <c r="AO1300" s="38" t="s">
        <v>1934</v>
      </c>
      <c r="AP1300" s="35" t="s">
        <v>396</v>
      </c>
    </row>
    <row r="1301" spans="1:42" x14ac:dyDescent="0.2">
      <c r="A1301" s="40">
        <v>131</v>
      </c>
      <c r="B1301" s="40">
        <v>1300</v>
      </c>
      <c r="C1301" s="40" t="s">
        <v>149</v>
      </c>
      <c r="D1301" s="38" t="s">
        <v>148</v>
      </c>
      <c r="E1301" s="32" t="s">
        <v>2186</v>
      </c>
      <c r="F1301" s="32" t="s">
        <v>29</v>
      </c>
      <c r="G1301" s="38" t="s">
        <v>29</v>
      </c>
      <c r="H1301" s="32" t="s">
        <v>242</v>
      </c>
      <c r="I1301" s="32" t="s">
        <v>243</v>
      </c>
      <c r="J1301" s="32" t="s">
        <v>1935</v>
      </c>
      <c r="K1301" s="32" t="s">
        <v>1513</v>
      </c>
      <c r="L1301" s="32" t="s">
        <v>30</v>
      </c>
      <c r="M1301" s="32" t="s">
        <v>30</v>
      </c>
      <c r="N1301" s="40">
        <v>2016</v>
      </c>
      <c r="O1301" s="32">
        <f>VLOOKUP(Data!N1190, CPI!$A$2:$B$112, 2, 0)</f>
        <v>218.05600000000001</v>
      </c>
      <c r="P1301" s="32" t="s">
        <v>122</v>
      </c>
      <c r="Q1301" s="32" t="s">
        <v>4</v>
      </c>
      <c r="R1301" s="32" t="s">
        <v>2729</v>
      </c>
      <c r="S1301" s="32">
        <v>712300000</v>
      </c>
      <c r="T1301" s="32" t="s">
        <v>1385</v>
      </c>
      <c r="U1301" s="32">
        <f>S1301/AB1301</f>
        <v>1140000</v>
      </c>
      <c r="V1301" s="32" t="s">
        <v>1487</v>
      </c>
      <c r="W1301" s="32">
        <f>VLOOKUP(N1301, 'Exchange rate- Vietnam'!$A$2:$B$65, 2, 0)</f>
        <v>21935.000833333299</v>
      </c>
      <c r="X1301" s="32">
        <f t="shared" si="81"/>
        <v>51.971732696157943</v>
      </c>
      <c r="Y1301" s="32">
        <f>(CPI!$B$112/O1301)*X1301</f>
        <v>72.61702778063497</v>
      </c>
      <c r="Z1301" s="38" t="s">
        <v>1609</v>
      </c>
      <c r="AA1301" s="35" t="s">
        <v>1936</v>
      </c>
      <c r="AB1301" s="32">
        <f>712300000/1140000</f>
        <v>624.82456140350882</v>
      </c>
      <c r="AC1301" s="32" t="s">
        <v>2730</v>
      </c>
      <c r="AH1301" s="32" t="s">
        <v>411</v>
      </c>
      <c r="AJ1301" s="35" t="s">
        <v>2278</v>
      </c>
      <c r="AK1301" s="40" t="s">
        <v>1939</v>
      </c>
      <c r="AL1301" s="32">
        <v>2018</v>
      </c>
      <c r="AM1301" s="32" t="s">
        <v>1940</v>
      </c>
      <c r="AN1301" s="32" t="s">
        <v>1941</v>
      </c>
      <c r="AO1301" s="38" t="s">
        <v>1942</v>
      </c>
      <c r="AP1301" s="35" t="s">
        <v>396</v>
      </c>
    </row>
    <row r="1302" spans="1:42" x14ac:dyDescent="0.2">
      <c r="A1302" s="40">
        <v>131</v>
      </c>
      <c r="B1302" s="40">
        <v>1301</v>
      </c>
      <c r="C1302" s="40" t="s">
        <v>149</v>
      </c>
      <c r="D1302" s="38" t="s">
        <v>148</v>
      </c>
      <c r="E1302" s="32" t="s">
        <v>2186</v>
      </c>
      <c r="F1302" s="32" t="s">
        <v>29</v>
      </c>
      <c r="G1302" s="38" t="s">
        <v>29</v>
      </c>
      <c r="H1302" s="32" t="s">
        <v>242</v>
      </c>
      <c r="I1302" s="32" t="s">
        <v>243</v>
      </c>
      <c r="J1302" s="32" t="s">
        <v>1935</v>
      </c>
      <c r="K1302" s="32" t="s">
        <v>1513</v>
      </c>
      <c r="L1302" s="32" t="s">
        <v>30</v>
      </c>
      <c r="M1302" s="32" t="s">
        <v>30</v>
      </c>
      <c r="N1302" s="40">
        <v>2016</v>
      </c>
      <c r="O1302" s="32">
        <f>VLOOKUP(Data!N1557, CPI!$A$2:$B$112, 2, 0)</f>
        <v>245.12</v>
      </c>
      <c r="P1302" s="32" t="s">
        <v>122</v>
      </c>
      <c r="Q1302" s="32" t="s">
        <v>4</v>
      </c>
      <c r="R1302" s="32" t="s">
        <v>1938</v>
      </c>
      <c r="S1302" s="32">
        <v>1140000</v>
      </c>
      <c r="T1302" s="32" t="s">
        <v>1305</v>
      </c>
      <c r="Z1302" s="38" t="s">
        <v>1609</v>
      </c>
      <c r="AA1302" s="35" t="s">
        <v>1936</v>
      </c>
      <c r="AB1302" s="32">
        <f>712300000/1140000</f>
        <v>624.82456140350882</v>
      </c>
      <c r="AC1302" s="32" t="s">
        <v>1937</v>
      </c>
      <c r="AH1302" s="32" t="s">
        <v>411</v>
      </c>
      <c r="AK1302" s="40" t="s">
        <v>1939</v>
      </c>
      <c r="AL1302" s="32">
        <v>2018</v>
      </c>
      <c r="AM1302" s="32" t="s">
        <v>1940</v>
      </c>
      <c r="AN1302" s="32" t="s">
        <v>1941</v>
      </c>
      <c r="AO1302" s="38" t="s">
        <v>1942</v>
      </c>
      <c r="AP1302" s="35" t="s">
        <v>396</v>
      </c>
    </row>
    <row r="1303" spans="1:42" x14ac:dyDescent="0.2">
      <c r="A1303" s="40">
        <v>132</v>
      </c>
      <c r="B1303" s="40">
        <v>1302</v>
      </c>
      <c r="C1303" s="40" t="s">
        <v>119</v>
      </c>
      <c r="D1303" s="38" t="s">
        <v>128</v>
      </c>
      <c r="E1303" s="32" t="s">
        <v>2186</v>
      </c>
      <c r="F1303" s="32" t="s">
        <v>29</v>
      </c>
      <c r="G1303" s="38" t="s">
        <v>29</v>
      </c>
      <c r="H1303" s="32" t="s">
        <v>242</v>
      </c>
      <c r="I1303" s="32" t="s">
        <v>243</v>
      </c>
      <c r="J1303" s="32" t="s">
        <v>1661</v>
      </c>
      <c r="K1303" s="32" t="s">
        <v>1513</v>
      </c>
      <c r="L1303" s="32" t="s">
        <v>30</v>
      </c>
      <c r="M1303" s="32" t="s">
        <v>30</v>
      </c>
      <c r="N1303" s="40">
        <v>2010</v>
      </c>
      <c r="O1303" s="32">
        <f>VLOOKUP(Data!N1191, CPI!$A$2:$B$112, 2, 0)</f>
        <v>218.05600000000001</v>
      </c>
      <c r="P1303" s="32" t="s">
        <v>56</v>
      </c>
      <c r="Q1303" s="32" t="s">
        <v>247</v>
      </c>
      <c r="R1303" s="32" t="s">
        <v>1944</v>
      </c>
      <c r="S1303" s="32">
        <v>50000</v>
      </c>
      <c r="T1303" s="32" t="s">
        <v>1487</v>
      </c>
      <c r="U1303" s="32">
        <v>50000</v>
      </c>
      <c r="V1303" s="32" t="s">
        <v>1487</v>
      </c>
      <c r="W1303" s="32">
        <f>VLOOKUP(N1303, 'Exchange rate- Vietnam'!$A$2:$B$65, 2, 0)</f>
        <v>18612.916666666701</v>
      </c>
      <c r="X1303" s="32">
        <f t="shared" ref="X1303:X1308" si="83">U1303/W1303</f>
        <v>2.6863065523493939</v>
      </c>
      <c r="Y1303" s="32">
        <f>(CPI!$B$112/O1303)*X1303</f>
        <v>3.7534172408625226</v>
      </c>
      <c r="Z1303" s="38" t="s">
        <v>1609</v>
      </c>
      <c r="AA1303" s="35" t="s">
        <v>1464</v>
      </c>
      <c r="AB1303" s="32">
        <v>5801</v>
      </c>
      <c r="AC1303" s="32" t="s">
        <v>1464</v>
      </c>
      <c r="AH1303" s="32" t="s">
        <v>411</v>
      </c>
      <c r="AI1303" s="32" t="s">
        <v>1862</v>
      </c>
      <c r="AK1303" s="40" t="s">
        <v>1948</v>
      </c>
      <c r="AL1303" s="32">
        <v>2021</v>
      </c>
      <c r="AM1303" s="32" t="s">
        <v>1949</v>
      </c>
      <c r="AN1303" s="32" t="s">
        <v>1950</v>
      </c>
      <c r="AO1303" s="38" t="s">
        <v>1951</v>
      </c>
      <c r="AP1303" s="35" t="s">
        <v>396</v>
      </c>
    </row>
    <row r="1304" spans="1:42" x14ac:dyDescent="0.2">
      <c r="A1304" s="40">
        <v>132</v>
      </c>
      <c r="B1304" s="40">
        <v>1303</v>
      </c>
      <c r="C1304" s="40" t="s">
        <v>119</v>
      </c>
      <c r="D1304" s="38" t="s">
        <v>128</v>
      </c>
      <c r="E1304" s="32" t="s">
        <v>2186</v>
      </c>
      <c r="F1304" s="32" t="s">
        <v>29</v>
      </c>
      <c r="G1304" s="38" t="s">
        <v>29</v>
      </c>
      <c r="H1304" s="32" t="s">
        <v>242</v>
      </c>
      <c r="I1304" s="32" t="s">
        <v>243</v>
      </c>
      <c r="J1304" s="32" t="s">
        <v>1661</v>
      </c>
      <c r="K1304" s="32" t="s">
        <v>1513</v>
      </c>
      <c r="L1304" s="32" t="s">
        <v>30</v>
      </c>
      <c r="M1304" s="32" t="s">
        <v>30</v>
      </c>
      <c r="N1304" s="40">
        <v>2010</v>
      </c>
      <c r="O1304" s="32">
        <f>VLOOKUP(Data!N1192, CPI!$A$2:$B$112, 2, 0)</f>
        <v>218.05600000000001</v>
      </c>
      <c r="P1304" s="32" t="s">
        <v>56</v>
      </c>
      <c r="Q1304" s="32" t="s">
        <v>247</v>
      </c>
      <c r="R1304" s="32" t="s">
        <v>1945</v>
      </c>
      <c r="S1304" s="32">
        <v>100000</v>
      </c>
      <c r="T1304" s="32" t="s">
        <v>1487</v>
      </c>
      <c r="U1304" s="32">
        <v>100000</v>
      </c>
      <c r="V1304" s="32" t="s">
        <v>1487</v>
      </c>
      <c r="W1304" s="32">
        <f>VLOOKUP(N1304, 'Exchange rate- Vietnam'!$A$2:$B$65, 2, 0)</f>
        <v>18612.916666666701</v>
      </c>
      <c r="X1304" s="32">
        <f t="shared" si="83"/>
        <v>5.3726131046987877</v>
      </c>
      <c r="Y1304" s="32">
        <f>(CPI!$B$112/O1304)*X1304</f>
        <v>7.5068344817250452</v>
      </c>
      <c r="Z1304" s="38" t="s">
        <v>1609</v>
      </c>
      <c r="AA1304" s="35" t="s">
        <v>1464</v>
      </c>
      <c r="AB1304" s="32">
        <v>5801</v>
      </c>
      <c r="AC1304" s="32" t="s">
        <v>1464</v>
      </c>
      <c r="AH1304" s="32" t="s">
        <v>411</v>
      </c>
      <c r="AI1304" s="32" t="s">
        <v>1862</v>
      </c>
      <c r="AK1304" s="40" t="s">
        <v>1948</v>
      </c>
      <c r="AL1304" s="32">
        <v>2021</v>
      </c>
      <c r="AM1304" s="32" t="s">
        <v>1949</v>
      </c>
      <c r="AN1304" s="32" t="s">
        <v>1950</v>
      </c>
      <c r="AO1304" s="38" t="s">
        <v>1951</v>
      </c>
      <c r="AP1304" s="35" t="s">
        <v>396</v>
      </c>
    </row>
    <row r="1305" spans="1:42" x14ac:dyDescent="0.2">
      <c r="A1305" s="40">
        <v>132</v>
      </c>
      <c r="B1305" s="40">
        <v>1304</v>
      </c>
      <c r="C1305" s="40" t="s">
        <v>119</v>
      </c>
      <c r="D1305" s="38" t="s">
        <v>128</v>
      </c>
      <c r="E1305" s="32" t="s">
        <v>2186</v>
      </c>
      <c r="F1305" s="32" t="s">
        <v>29</v>
      </c>
      <c r="G1305" s="38" t="s">
        <v>29</v>
      </c>
      <c r="H1305" s="32" t="s">
        <v>242</v>
      </c>
      <c r="I1305" s="32" t="s">
        <v>243</v>
      </c>
      <c r="J1305" s="32" t="s">
        <v>1947</v>
      </c>
      <c r="K1305" s="32" t="s">
        <v>1513</v>
      </c>
      <c r="L1305" s="32" t="s">
        <v>30</v>
      </c>
      <c r="M1305" s="32" t="s">
        <v>30</v>
      </c>
      <c r="N1305" s="40">
        <v>2014</v>
      </c>
      <c r="O1305" s="32">
        <f>VLOOKUP(Data!N1193, CPI!$A$2:$B$112, 2, 0)</f>
        <v>218.05600000000001</v>
      </c>
      <c r="P1305" s="32" t="s">
        <v>56</v>
      </c>
      <c r="Q1305" s="32" t="s">
        <v>247</v>
      </c>
      <c r="R1305" s="32" t="s">
        <v>1944</v>
      </c>
      <c r="S1305" s="32">
        <v>50000</v>
      </c>
      <c r="T1305" s="32" t="s">
        <v>1487</v>
      </c>
      <c r="U1305" s="32">
        <v>50000</v>
      </c>
      <c r="V1305" s="32" t="s">
        <v>1487</v>
      </c>
      <c r="W1305" s="32">
        <f>VLOOKUP(N1305, 'Exchange rate- Vietnam'!$A$2:$B$65, 2, 0)</f>
        <v>21148</v>
      </c>
      <c r="X1305" s="32">
        <f t="shared" si="83"/>
        <v>2.364289767353887</v>
      </c>
      <c r="Y1305" s="32">
        <f>(CPI!$B$112/O1305)*X1305</f>
        <v>3.303482235644231</v>
      </c>
      <c r="Z1305" s="38" t="s">
        <v>1609</v>
      </c>
      <c r="AA1305" s="35" t="s">
        <v>1464</v>
      </c>
      <c r="AB1305" s="32">
        <v>1900</v>
      </c>
      <c r="AC1305" s="32" t="s">
        <v>1464</v>
      </c>
      <c r="AH1305" s="32" t="s">
        <v>411</v>
      </c>
      <c r="AI1305" s="32" t="s">
        <v>1862</v>
      </c>
      <c r="AK1305" s="40" t="s">
        <v>1948</v>
      </c>
      <c r="AL1305" s="32">
        <v>2021</v>
      </c>
      <c r="AM1305" s="32" t="s">
        <v>1949</v>
      </c>
      <c r="AN1305" s="32" t="s">
        <v>1950</v>
      </c>
      <c r="AO1305" s="38" t="s">
        <v>1951</v>
      </c>
      <c r="AP1305" s="35" t="s">
        <v>396</v>
      </c>
    </row>
    <row r="1306" spans="1:42" x14ac:dyDescent="0.2">
      <c r="A1306" s="40">
        <v>132</v>
      </c>
      <c r="B1306" s="40">
        <v>1305</v>
      </c>
      <c r="C1306" s="40" t="s">
        <v>119</v>
      </c>
      <c r="D1306" s="38" t="s">
        <v>128</v>
      </c>
      <c r="E1306" s="32" t="s">
        <v>2186</v>
      </c>
      <c r="F1306" s="32" t="s">
        <v>29</v>
      </c>
      <c r="G1306" s="38" t="s">
        <v>29</v>
      </c>
      <c r="H1306" s="32" t="s">
        <v>242</v>
      </c>
      <c r="I1306" s="32" t="s">
        <v>243</v>
      </c>
      <c r="J1306" s="32" t="s">
        <v>1947</v>
      </c>
      <c r="K1306" s="32" t="s">
        <v>1513</v>
      </c>
      <c r="L1306" s="32" t="s">
        <v>30</v>
      </c>
      <c r="M1306" s="32" t="s">
        <v>30</v>
      </c>
      <c r="N1306" s="40">
        <v>2014</v>
      </c>
      <c r="O1306" s="32">
        <f>VLOOKUP(Data!N1194, CPI!$A$2:$B$112, 2, 0)</f>
        <v>218.05600000000001</v>
      </c>
      <c r="P1306" s="32" t="s">
        <v>56</v>
      </c>
      <c r="Q1306" s="32" t="s">
        <v>247</v>
      </c>
      <c r="R1306" s="32" t="s">
        <v>1945</v>
      </c>
      <c r="S1306" s="32">
        <v>100000</v>
      </c>
      <c r="T1306" s="32" t="s">
        <v>1487</v>
      </c>
      <c r="U1306" s="32">
        <v>100000</v>
      </c>
      <c r="V1306" s="32" t="s">
        <v>1487</v>
      </c>
      <c r="W1306" s="32">
        <f>VLOOKUP(N1306, 'Exchange rate- Vietnam'!$A$2:$B$65, 2, 0)</f>
        <v>21148</v>
      </c>
      <c r="X1306" s="32">
        <f t="shared" si="83"/>
        <v>4.7285795347077739</v>
      </c>
      <c r="Y1306" s="32">
        <f>(CPI!$B$112/O1306)*X1306</f>
        <v>6.6069644712884621</v>
      </c>
      <c r="Z1306" s="38" t="s">
        <v>1609</v>
      </c>
      <c r="AA1306" s="35" t="s">
        <v>1464</v>
      </c>
      <c r="AB1306" s="40">
        <v>1900</v>
      </c>
      <c r="AC1306" s="40" t="s">
        <v>1464</v>
      </c>
      <c r="AH1306" s="32" t="s">
        <v>411</v>
      </c>
      <c r="AI1306" s="32" t="s">
        <v>1862</v>
      </c>
      <c r="AK1306" s="40" t="s">
        <v>1948</v>
      </c>
      <c r="AL1306" s="32">
        <v>2021</v>
      </c>
      <c r="AM1306" s="32" t="s">
        <v>1949</v>
      </c>
      <c r="AN1306" s="32" t="s">
        <v>1950</v>
      </c>
      <c r="AO1306" s="38" t="s">
        <v>1951</v>
      </c>
      <c r="AP1306" s="35" t="s">
        <v>396</v>
      </c>
    </row>
    <row r="1307" spans="1:42" x14ac:dyDescent="0.2">
      <c r="A1307" s="40">
        <v>132</v>
      </c>
      <c r="B1307" s="40">
        <v>1306</v>
      </c>
      <c r="C1307" s="40" t="s">
        <v>119</v>
      </c>
      <c r="D1307" s="38" t="s">
        <v>128</v>
      </c>
      <c r="E1307" s="32" t="s">
        <v>2186</v>
      </c>
      <c r="F1307" s="32" t="s">
        <v>29</v>
      </c>
      <c r="G1307" s="38" t="s">
        <v>29</v>
      </c>
      <c r="H1307" s="32" t="s">
        <v>242</v>
      </c>
      <c r="I1307" s="32" t="s">
        <v>243</v>
      </c>
      <c r="J1307" s="32" t="s">
        <v>1952</v>
      </c>
      <c r="K1307" s="32" t="s">
        <v>1513</v>
      </c>
      <c r="L1307" s="32" t="s">
        <v>30</v>
      </c>
      <c r="M1307" s="32" t="s">
        <v>30</v>
      </c>
      <c r="N1307" s="40">
        <v>2014</v>
      </c>
      <c r="O1307" s="32">
        <f>VLOOKUP(Data!N1195, CPI!$A$2:$B$112, 2, 0)</f>
        <v>218.05600000000001</v>
      </c>
      <c r="P1307" s="32" t="s">
        <v>56</v>
      </c>
      <c r="Q1307" s="32" t="s">
        <v>247</v>
      </c>
      <c r="R1307" s="32" t="s">
        <v>1944</v>
      </c>
      <c r="S1307" s="32">
        <v>50000</v>
      </c>
      <c r="T1307" s="32" t="s">
        <v>1487</v>
      </c>
      <c r="U1307" s="32">
        <v>50000</v>
      </c>
      <c r="V1307" s="32" t="s">
        <v>1487</v>
      </c>
      <c r="W1307" s="32">
        <f>VLOOKUP(N1307, 'Exchange rate- Vietnam'!$A$2:$B$65, 2, 0)</f>
        <v>21148</v>
      </c>
      <c r="X1307" s="32">
        <f t="shared" si="83"/>
        <v>2.364289767353887</v>
      </c>
      <c r="Y1307" s="32">
        <f>(CPI!$B$112/O1307)*X1307</f>
        <v>3.303482235644231</v>
      </c>
      <c r="Z1307" s="38" t="s">
        <v>1609</v>
      </c>
      <c r="AA1307" s="35" t="s">
        <v>1464</v>
      </c>
      <c r="AB1307" s="40">
        <v>1150</v>
      </c>
      <c r="AC1307" s="40" t="s">
        <v>1464</v>
      </c>
      <c r="AH1307" s="32" t="s">
        <v>411</v>
      </c>
      <c r="AI1307" s="32" t="s">
        <v>1862</v>
      </c>
      <c r="AK1307" s="40" t="s">
        <v>1948</v>
      </c>
      <c r="AL1307" s="32">
        <v>2021</v>
      </c>
      <c r="AM1307" s="32" t="s">
        <v>1949</v>
      </c>
      <c r="AN1307" s="32" t="s">
        <v>1950</v>
      </c>
      <c r="AO1307" s="38" t="s">
        <v>1951</v>
      </c>
      <c r="AP1307" s="35" t="s">
        <v>396</v>
      </c>
    </row>
    <row r="1308" spans="1:42" x14ac:dyDescent="0.2">
      <c r="A1308" s="40">
        <v>132</v>
      </c>
      <c r="B1308" s="40">
        <v>1307</v>
      </c>
      <c r="C1308" s="40" t="s">
        <v>119</v>
      </c>
      <c r="D1308" s="38" t="s">
        <v>128</v>
      </c>
      <c r="E1308" s="32" t="s">
        <v>2186</v>
      </c>
      <c r="F1308" s="32" t="s">
        <v>29</v>
      </c>
      <c r="G1308" s="38" t="s">
        <v>29</v>
      </c>
      <c r="H1308" s="32" t="s">
        <v>242</v>
      </c>
      <c r="I1308" s="32" t="s">
        <v>243</v>
      </c>
      <c r="J1308" s="32" t="s">
        <v>1952</v>
      </c>
      <c r="K1308" s="32" t="s">
        <v>1513</v>
      </c>
      <c r="L1308" s="32" t="s">
        <v>30</v>
      </c>
      <c r="M1308" s="32" t="s">
        <v>30</v>
      </c>
      <c r="N1308" s="40">
        <v>2014</v>
      </c>
      <c r="O1308" s="32">
        <f>VLOOKUP(Data!N1196, CPI!$A$2:$B$112, 2, 0)</f>
        <v>218.05600000000001</v>
      </c>
      <c r="P1308" s="32" t="s">
        <v>56</v>
      </c>
      <c r="Q1308" s="32" t="s">
        <v>247</v>
      </c>
      <c r="R1308" s="32" t="s">
        <v>1945</v>
      </c>
      <c r="S1308" s="32">
        <v>100000</v>
      </c>
      <c r="T1308" s="32" t="s">
        <v>1487</v>
      </c>
      <c r="U1308" s="32">
        <v>100000</v>
      </c>
      <c r="V1308" s="32" t="s">
        <v>1487</v>
      </c>
      <c r="W1308" s="32">
        <f>VLOOKUP(N1308, 'Exchange rate- Vietnam'!$A$2:$B$65, 2, 0)</f>
        <v>21148</v>
      </c>
      <c r="X1308" s="32">
        <f t="shared" si="83"/>
        <v>4.7285795347077739</v>
      </c>
      <c r="Y1308" s="32">
        <f>(CPI!$B$112/O1308)*X1308</f>
        <v>6.6069644712884621</v>
      </c>
      <c r="Z1308" s="38" t="s">
        <v>1609</v>
      </c>
      <c r="AA1308" s="35" t="s">
        <v>1464</v>
      </c>
      <c r="AB1308" s="40">
        <v>1150</v>
      </c>
      <c r="AC1308" s="40" t="s">
        <v>1464</v>
      </c>
      <c r="AH1308" s="32" t="s">
        <v>411</v>
      </c>
      <c r="AI1308" s="32" t="s">
        <v>1862</v>
      </c>
      <c r="AK1308" s="40" t="s">
        <v>1948</v>
      </c>
      <c r="AL1308" s="32">
        <v>2021</v>
      </c>
      <c r="AM1308" s="32" t="s">
        <v>1949</v>
      </c>
      <c r="AN1308" s="32" t="s">
        <v>1950</v>
      </c>
      <c r="AO1308" s="38" t="s">
        <v>1951</v>
      </c>
      <c r="AP1308" s="35" t="s">
        <v>396</v>
      </c>
    </row>
    <row r="1309" spans="1:42" x14ac:dyDescent="0.2">
      <c r="A1309" s="40">
        <v>132</v>
      </c>
      <c r="B1309" s="40">
        <v>1308</v>
      </c>
      <c r="C1309" s="40" t="s">
        <v>119</v>
      </c>
      <c r="D1309" s="38" t="s">
        <v>128</v>
      </c>
      <c r="E1309" s="32" t="s">
        <v>2186</v>
      </c>
      <c r="F1309" s="32" t="s">
        <v>29</v>
      </c>
      <c r="G1309" s="38" t="s">
        <v>29</v>
      </c>
      <c r="H1309" s="32" t="s">
        <v>242</v>
      </c>
      <c r="I1309" s="32" t="s">
        <v>243</v>
      </c>
      <c r="J1309" s="32" t="s">
        <v>1943</v>
      </c>
      <c r="K1309" s="32" t="s">
        <v>1513</v>
      </c>
      <c r="L1309" s="32" t="s">
        <v>30</v>
      </c>
      <c r="M1309" s="32" t="s">
        <v>30</v>
      </c>
      <c r="N1309" s="40">
        <v>2010</v>
      </c>
      <c r="O1309" s="32" t="e">
        <f>VLOOKUP(Data!#REF!, CPI!$A$2:$B$112, 2, 0)</f>
        <v>#REF!</v>
      </c>
      <c r="P1309" s="32" t="s">
        <v>56</v>
      </c>
      <c r="Q1309" s="32" t="s">
        <v>247</v>
      </c>
      <c r="R1309" s="32" t="s">
        <v>2732</v>
      </c>
      <c r="S1309" s="32">
        <v>115198</v>
      </c>
      <c r="T1309" s="32" t="s">
        <v>2733</v>
      </c>
      <c r="Z1309" s="38" t="s">
        <v>1609</v>
      </c>
      <c r="AA1309" s="35" t="s">
        <v>1399</v>
      </c>
      <c r="AB1309" s="40" t="s">
        <v>30</v>
      </c>
      <c r="AC1309" s="40"/>
      <c r="AE1309" s="32">
        <v>43</v>
      </c>
      <c r="AH1309" s="32" t="s">
        <v>411</v>
      </c>
      <c r="AI1309" s="32" t="s">
        <v>2734</v>
      </c>
      <c r="AK1309" s="40" t="s">
        <v>1948</v>
      </c>
      <c r="AL1309" s="32">
        <v>2021</v>
      </c>
      <c r="AM1309" s="32" t="s">
        <v>1949</v>
      </c>
      <c r="AN1309" s="32" t="s">
        <v>1950</v>
      </c>
      <c r="AO1309" s="38" t="s">
        <v>1951</v>
      </c>
      <c r="AP1309" s="35" t="s">
        <v>396</v>
      </c>
    </row>
    <row r="1310" spans="1:42" x14ac:dyDescent="0.2">
      <c r="A1310" s="40">
        <v>132</v>
      </c>
      <c r="B1310" s="40">
        <v>1309</v>
      </c>
      <c r="C1310" s="40" t="s">
        <v>119</v>
      </c>
      <c r="D1310" s="38" t="s">
        <v>128</v>
      </c>
      <c r="E1310" s="32" t="s">
        <v>2186</v>
      </c>
      <c r="F1310" s="32" t="s">
        <v>29</v>
      </c>
      <c r="G1310" s="38" t="s">
        <v>29</v>
      </c>
      <c r="H1310" s="32" t="s">
        <v>242</v>
      </c>
      <c r="I1310" s="32" t="s">
        <v>243</v>
      </c>
      <c r="J1310" s="32" t="s">
        <v>1943</v>
      </c>
      <c r="K1310" s="32" t="s">
        <v>1513</v>
      </c>
      <c r="L1310" s="32" t="s">
        <v>30</v>
      </c>
      <c r="M1310" s="32" t="s">
        <v>30</v>
      </c>
      <c r="N1310" s="40">
        <v>2010</v>
      </c>
      <c r="O1310" s="32">
        <f>VLOOKUP(Data!N1558, CPI!$A$2:$B$112, 2, 0)</f>
        <v>240.00700000000001</v>
      </c>
      <c r="P1310" s="32" t="s">
        <v>56</v>
      </c>
      <c r="Q1310" s="32" t="s">
        <v>247</v>
      </c>
      <c r="R1310" s="32" t="s">
        <v>2731</v>
      </c>
      <c r="S1310" s="32">
        <v>493000</v>
      </c>
      <c r="T1310" s="32" t="s">
        <v>2733</v>
      </c>
      <c r="Z1310" s="38" t="s">
        <v>1609</v>
      </c>
      <c r="AA1310" s="35" t="s">
        <v>1399</v>
      </c>
      <c r="AB1310" s="40" t="s">
        <v>30</v>
      </c>
      <c r="AC1310" s="40"/>
      <c r="AE1310" s="32">
        <v>27</v>
      </c>
      <c r="AH1310" s="32" t="s">
        <v>411</v>
      </c>
      <c r="AI1310" s="32" t="s">
        <v>2734</v>
      </c>
      <c r="AK1310" s="40" t="s">
        <v>1948</v>
      </c>
      <c r="AL1310" s="32">
        <v>2021</v>
      </c>
      <c r="AM1310" s="32" t="s">
        <v>1949</v>
      </c>
      <c r="AN1310" s="32" t="s">
        <v>1950</v>
      </c>
      <c r="AO1310" s="38" t="s">
        <v>1951</v>
      </c>
      <c r="AP1310" s="35" t="s">
        <v>396</v>
      </c>
    </row>
    <row r="1311" spans="1:42" x14ac:dyDescent="0.2">
      <c r="A1311" s="40">
        <v>132</v>
      </c>
      <c r="B1311" s="40">
        <v>1310</v>
      </c>
      <c r="C1311" s="40" t="s">
        <v>119</v>
      </c>
      <c r="D1311" s="38" t="s">
        <v>128</v>
      </c>
      <c r="E1311" s="32" t="s">
        <v>2186</v>
      </c>
      <c r="F1311" s="32" t="s">
        <v>29</v>
      </c>
      <c r="G1311" s="38" t="s">
        <v>29</v>
      </c>
      <c r="H1311" s="32" t="s">
        <v>242</v>
      </c>
      <c r="I1311" s="32" t="s">
        <v>243</v>
      </c>
      <c r="J1311" s="32" t="s">
        <v>1943</v>
      </c>
      <c r="K1311" s="32" t="s">
        <v>1513</v>
      </c>
      <c r="L1311" s="32" t="s">
        <v>30</v>
      </c>
      <c r="M1311" s="32" t="s">
        <v>30</v>
      </c>
      <c r="N1311" s="40">
        <v>2010</v>
      </c>
      <c r="O1311" s="32">
        <f>VLOOKUP(Data!N1559, CPI!$A$2:$B$112, 2, 0)</f>
        <v>245.12</v>
      </c>
      <c r="P1311" s="32" t="s">
        <v>21</v>
      </c>
      <c r="Q1311" s="32" t="s">
        <v>247</v>
      </c>
      <c r="R1311" s="32" t="s">
        <v>1945</v>
      </c>
      <c r="S1311" s="32">
        <v>40000000</v>
      </c>
      <c r="T1311" s="32" t="s">
        <v>1946</v>
      </c>
      <c r="Z1311" s="38" t="s">
        <v>1609</v>
      </c>
      <c r="AA1311" s="35" t="s">
        <v>1399</v>
      </c>
      <c r="AB1311" s="40" t="s">
        <v>30</v>
      </c>
      <c r="AC1311" s="40"/>
      <c r="AH1311" s="32" t="s">
        <v>411</v>
      </c>
      <c r="AI1311" s="32" t="s">
        <v>1862</v>
      </c>
      <c r="AK1311" s="40" t="s">
        <v>1948</v>
      </c>
      <c r="AL1311" s="32">
        <v>2021</v>
      </c>
      <c r="AM1311" s="32" t="s">
        <v>1949</v>
      </c>
      <c r="AN1311" s="32" t="s">
        <v>1950</v>
      </c>
      <c r="AO1311" s="38" t="s">
        <v>1951</v>
      </c>
      <c r="AP1311" s="35" t="s">
        <v>396</v>
      </c>
    </row>
    <row r="1312" spans="1:42" x14ac:dyDescent="0.2">
      <c r="A1312" s="40">
        <v>133</v>
      </c>
      <c r="B1312" s="40">
        <v>1311</v>
      </c>
      <c r="C1312" s="40" t="s">
        <v>119</v>
      </c>
      <c r="D1312" s="38" t="s">
        <v>128</v>
      </c>
      <c r="E1312" s="32" t="s">
        <v>2186</v>
      </c>
      <c r="F1312" s="32" t="s">
        <v>29</v>
      </c>
      <c r="G1312" s="38" t="s">
        <v>29</v>
      </c>
      <c r="H1312" s="32" t="s">
        <v>242</v>
      </c>
      <c r="I1312" s="32" t="s">
        <v>243</v>
      </c>
      <c r="J1312" s="32" t="s">
        <v>1954</v>
      </c>
      <c r="K1312" s="32" t="s">
        <v>1513</v>
      </c>
      <c r="L1312" s="32" t="s">
        <v>30</v>
      </c>
      <c r="M1312" s="32" t="s">
        <v>30</v>
      </c>
      <c r="N1312" s="40">
        <v>2014</v>
      </c>
      <c r="O1312" s="32">
        <f>VLOOKUP(Data!N920, CPI!$A$2:$B$112, 2, 0)</f>
        <v>236.73599999999999</v>
      </c>
      <c r="P1312" s="32" t="s">
        <v>56</v>
      </c>
      <c r="Q1312" s="32" t="s">
        <v>239</v>
      </c>
      <c r="R1312" s="32" t="s">
        <v>1953</v>
      </c>
      <c r="S1312" s="32">
        <v>21.3</v>
      </c>
      <c r="T1312" s="32" t="s">
        <v>316</v>
      </c>
      <c r="U1312" s="32">
        <v>21.3</v>
      </c>
      <c r="V1312" s="32" t="s">
        <v>316</v>
      </c>
      <c r="X1312" s="32">
        <f>U1312</f>
        <v>21.3</v>
      </c>
      <c r="Y1312" s="32">
        <f>(CPI!$B$112/O1312)*X1312</f>
        <v>27.41287668542174</v>
      </c>
      <c r="Z1312" s="38" t="s">
        <v>262</v>
      </c>
      <c r="AA1312" s="35" t="s">
        <v>2736</v>
      </c>
      <c r="AB1312" s="32">
        <v>9727</v>
      </c>
      <c r="AC1312" s="32" t="s">
        <v>2737</v>
      </c>
      <c r="AH1312" s="32" t="s">
        <v>411</v>
      </c>
      <c r="AI1312" s="32" t="s">
        <v>1955</v>
      </c>
      <c r="AK1312" s="40" t="s">
        <v>1956</v>
      </c>
      <c r="AL1312" s="32">
        <v>2018</v>
      </c>
      <c r="AM1312" s="32" t="s">
        <v>1957</v>
      </c>
      <c r="AN1312" s="32" t="s">
        <v>1958</v>
      </c>
      <c r="AO1312" s="38" t="s">
        <v>1959</v>
      </c>
      <c r="AP1312" s="35" t="s">
        <v>396</v>
      </c>
    </row>
    <row r="1313" spans="1:42" x14ac:dyDescent="0.2">
      <c r="A1313" s="40">
        <v>134</v>
      </c>
      <c r="B1313" s="40">
        <v>1312</v>
      </c>
      <c r="C1313" s="40" t="s">
        <v>119</v>
      </c>
      <c r="D1313" s="38" t="s">
        <v>128</v>
      </c>
      <c r="E1313" s="32" t="s">
        <v>2186</v>
      </c>
      <c r="F1313" s="32" t="s">
        <v>29</v>
      </c>
      <c r="G1313" s="38" t="s">
        <v>29</v>
      </c>
      <c r="H1313" s="32" t="s">
        <v>242</v>
      </c>
      <c r="I1313" s="32" t="s">
        <v>243</v>
      </c>
      <c r="J1313" s="32" t="s">
        <v>1960</v>
      </c>
      <c r="K1313" s="32" t="s">
        <v>1513</v>
      </c>
      <c r="L1313" s="32" t="s">
        <v>30</v>
      </c>
      <c r="M1313" s="32" t="s">
        <v>30</v>
      </c>
      <c r="N1313" s="40">
        <v>2009</v>
      </c>
      <c r="O1313" s="32">
        <f>VLOOKUP(Data!N1197, CPI!$A$2:$B$112, 2, 0)</f>
        <v>218.05600000000001</v>
      </c>
      <c r="P1313" s="32" t="s">
        <v>56</v>
      </c>
      <c r="Q1313" s="32" t="s">
        <v>239</v>
      </c>
      <c r="R1313" s="32" t="s">
        <v>1963</v>
      </c>
      <c r="S1313" s="32">
        <v>119970</v>
      </c>
      <c r="T1313" s="32" t="s">
        <v>1487</v>
      </c>
      <c r="U1313" s="32">
        <v>119970</v>
      </c>
      <c r="V1313" s="32" t="s">
        <v>1487</v>
      </c>
      <c r="W1313" s="32">
        <f>VLOOKUP(N1313, 'Exchange rate- Vietnam'!$A$2:$B$65, 2, 0)</f>
        <v>17065.083333333299</v>
      </c>
      <c r="X1313" s="32">
        <f t="shared" ref="X1313:X1323" si="84">U1313/W1313</f>
        <v>7.0301443981619531</v>
      </c>
      <c r="Y1313" s="32">
        <f>(CPI!$B$112/O1313)*X1313</f>
        <v>9.8228049091182541</v>
      </c>
      <c r="Z1313" s="38" t="s">
        <v>1609</v>
      </c>
      <c r="AA1313" s="35" t="s">
        <v>1961</v>
      </c>
      <c r="AB1313" s="32">
        <v>13912</v>
      </c>
      <c r="AC1313" s="32" t="s">
        <v>2735</v>
      </c>
      <c r="AH1313" s="32" t="s">
        <v>411</v>
      </c>
      <c r="AK1313" s="40" t="s">
        <v>1964</v>
      </c>
      <c r="AL1313" s="32">
        <v>2016</v>
      </c>
      <c r="AM1313" s="32" t="s">
        <v>1965</v>
      </c>
      <c r="AN1313" s="32" t="s">
        <v>1966</v>
      </c>
      <c r="AP1313" s="35" t="s">
        <v>396</v>
      </c>
    </row>
    <row r="1314" spans="1:42" x14ac:dyDescent="0.2">
      <c r="A1314" s="40">
        <v>134</v>
      </c>
      <c r="B1314" s="40">
        <v>1313</v>
      </c>
      <c r="C1314" s="40" t="s">
        <v>119</v>
      </c>
      <c r="D1314" s="38" t="s">
        <v>128</v>
      </c>
      <c r="E1314" s="32" t="s">
        <v>2186</v>
      </c>
      <c r="F1314" s="32" t="s">
        <v>29</v>
      </c>
      <c r="G1314" s="38" t="s">
        <v>29</v>
      </c>
      <c r="H1314" s="32" t="s">
        <v>242</v>
      </c>
      <c r="I1314" s="32" t="s">
        <v>243</v>
      </c>
      <c r="J1314" s="32" t="s">
        <v>1960</v>
      </c>
      <c r="K1314" s="32" t="s">
        <v>1513</v>
      </c>
      <c r="L1314" s="32" t="s">
        <v>30</v>
      </c>
      <c r="M1314" s="32" t="s">
        <v>30</v>
      </c>
      <c r="N1314" s="40">
        <v>2015</v>
      </c>
      <c r="O1314" s="32">
        <f>VLOOKUP(Data!N1198, CPI!$A$2:$B$112, 2, 0)</f>
        <v>218.05600000000001</v>
      </c>
      <c r="P1314" s="32" t="s">
        <v>56</v>
      </c>
      <c r="Q1314" s="32" t="s">
        <v>239</v>
      </c>
      <c r="R1314" s="32" t="s">
        <v>1963</v>
      </c>
      <c r="S1314" s="32">
        <v>263785</v>
      </c>
      <c r="T1314" s="32" t="s">
        <v>1487</v>
      </c>
      <c r="U1314" s="32">
        <v>263785</v>
      </c>
      <c r="V1314" s="32" t="s">
        <v>1487</v>
      </c>
      <c r="W1314" s="32">
        <f>VLOOKUP(N1314, 'Exchange rate- Vietnam'!$A$2:$B$65, 2, 0)</f>
        <v>21697.567500000001</v>
      </c>
      <c r="X1314" s="32">
        <f t="shared" si="84"/>
        <v>12.157353583529583</v>
      </c>
      <c r="Y1314" s="32">
        <f>(CPI!$B$112/O1314)*X1314</f>
        <v>16.986751010890078</v>
      </c>
      <c r="Z1314" s="38" t="s">
        <v>1609</v>
      </c>
      <c r="AA1314" s="35" t="s">
        <v>1961</v>
      </c>
      <c r="AB1314" s="32">
        <v>13912</v>
      </c>
      <c r="AC1314" s="32" t="s">
        <v>2735</v>
      </c>
      <c r="AH1314" s="32" t="s">
        <v>411</v>
      </c>
      <c r="AK1314" s="40" t="s">
        <v>1964</v>
      </c>
      <c r="AL1314" s="32">
        <v>2016</v>
      </c>
      <c r="AM1314" s="32" t="s">
        <v>1965</v>
      </c>
      <c r="AN1314" s="32" t="s">
        <v>1966</v>
      </c>
      <c r="AP1314" s="35" t="s">
        <v>396</v>
      </c>
    </row>
    <row r="1315" spans="1:42" x14ac:dyDescent="0.2">
      <c r="A1315" s="40">
        <v>134</v>
      </c>
      <c r="B1315" s="40">
        <v>1314</v>
      </c>
      <c r="C1315" s="40" t="s">
        <v>119</v>
      </c>
      <c r="D1315" s="38" t="s">
        <v>128</v>
      </c>
      <c r="E1315" s="32" t="s">
        <v>2186</v>
      </c>
      <c r="F1315" s="32" t="s">
        <v>29</v>
      </c>
      <c r="G1315" s="38" t="s">
        <v>29</v>
      </c>
      <c r="H1315" s="32" t="s">
        <v>242</v>
      </c>
      <c r="I1315" s="32" t="s">
        <v>243</v>
      </c>
      <c r="J1315" s="32" t="s">
        <v>1962</v>
      </c>
      <c r="K1315" s="32" t="s">
        <v>1513</v>
      </c>
      <c r="L1315" s="32" t="s">
        <v>30</v>
      </c>
      <c r="M1315" s="32" t="s">
        <v>30</v>
      </c>
      <c r="N1315" s="40">
        <v>2014</v>
      </c>
      <c r="O1315" s="32">
        <f>VLOOKUP(Data!N1199, CPI!$A$2:$B$112, 2, 0)</f>
        <v>218.05600000000001</v>
      </c>
      <c r="P1315" s="32" t="s">
        <v>56</v>
      </c>
      <c r="Q1315" s="32" t="s">
        <v>239</v>
      </c>
      <c r="R1315" s="32" t="s">
        <v>1963</v>
      </c>
      <c r="S1315" s="32">
        <v>100000</v>
      </c>
      <c r="T1315" s="32" t="s">
        <v>1487</v>
      </c>
      <c r="U1315" s="32">
        <v>100000</v>
      </c>
      <c r="V1315" s="32" t="s">
        <v>1487</v>
      </c>
      <c r="W1315" s="32">
        <f>VLOOKUP(N1315, 'Exchange rate- Vietnam'!$A$2:$B$65, 2, 0)</f>
        <v>21148</v>
      </c>
      <c r="X1315" s="32">
        <f t="shared" si="84"/>
        <v>4.7285795347077739</v>
      </c>
      <c r="Y1315" s="32">
        <f>(CPI!$B$112/O1315)*X1315</f>
        <v>6.6069644712884621</v>
      </c>
      <c r="Z1315" s="38" t="s">
        <v>1609</v>
      </c>
      <c r="AA1315" s="35" t="s">
        <v>1961</v>
      </c>
      <c r="AB1315" s="32">
        <v>13912</v>
      </c>
      <c r="AC1315" s="32" t="s">
        <v>2735</v>
      </c>
      <c r="AH1315" s="32" t="s">
        <v>411</v>
      </c>
      <c r="AK1315" s="40" t="s">
        <v>1964</v>
      </c>
      <c r="AL1315" s="32">
        <v>2016</v>
      </c>
      <c r="AM1315" s="32" t="s">
        <v>1965</v>
      </c>
      <c r="AN1315" s="32" t="s">
        <v>1966</v>
      </c>
      <c r="AP1315" s="35" t="s">
        <v>396</v>
      </c>
    </row>
    <row r="1316" spans="1:42" x14ac:dyDescent="0.2">
      <c r="A1316" s="40">
        <v>135</v>
      </c>
      <c r="B1316" s="40">
        <v>1315</v>
      </c>
      <c r="C1316" s="40" t="s">
        <v>119</v>
      </c>
      <c r="D1316" s="38" t="s">
        <v>128</v>
      </c>
      <c r="E1316" s="32" t="s">
        <v>2183</v>
      </c>
      <c r="F1316" s="32" t="s">
        <v>237</v>
      </c>
      <c r="G1316" s="38" t="s">
        <v>1923</v>
      </c>
      <c r="H1316" s="32" t="s">
        <v>151</v>
      </c>
      <c r="I1316" s="32" t="s">
        <v>243</v>
      </c>
      <c r="J1316" s="32" t="s">
        <v>1976</v>
      </c>
      <c r="K1316" s="32" t="s">
        <v>1513</v>
      </c>
      <c r="L1316" s="32" t="s">
        <v>30</v>
      </c>
      <c r="M1316" s="32" t="s">
        <v>30</v>
      </c>
      <c r="N1316" s="40">
        <v>2009</v>
      </c>
      <c r="O1316" s="32">
        <f>VLOOKUP(Data!N1200, CPI!$A$2:$B$112, 2, 0)</f>
        <v>218.05600000000001</v>
      </c>
      <c r="P1316" s="32" t="s">
        <v>238</v>
      </c>
      <c r="Q1316" s="32" t="s">
        <v>239</v>
      </c>
      <c r="R1316" s="32" t="s">
        <v>1967</v>
      </c>
      <c r="S1316" s="32">
        <v>438000</v>
      </c>
      <c r="T1316" s="32" t="s">
        <v>2738</v>
      </c>
      <c r="U1316" s="32">
        <f>S1316/(1/0.83)</f>
        <v>363539.99999999994</v>
      </c>
      <c r="V1316" s="32" t="s">
        <v>1487</v>
      </c>
      <c r="W1316" s="32">
        <f>VLOOKUP(N1316, 'Exchange rate- Vietnam'!$A$2:$B$65, 2, 0)</f>
        <v>17065.083333333299</v>
      </c>
      <c r="X1316" s="32">
        <f t="shared" si="84"/>
        <v>21.303148241291957</v>
      </c>
      <c r="Y1316" s="32">
        <f>(CPI!$B$112/O1316)*X1316</f>
        <v>29.765628879393596</v>
      </c>
      <c r="Z1316" s="38" t="s">
        <v>1609</v>
      </c>
      <c r="AA1316" s="35" t="s">
        <v>1425</v>
      </c>
      <c r="AB1316" s="32">
        <v>39400</v>
      </c>
      <c r="AH1316" s="32" t="s">
        <v>411</v>
      </c>
      <c r="AI1316" s="32" t="s">
        <v>1977</v>
      </c>
      <c r="AJ1316" s="35" t="s">
        <v>2739</v>
      </c>
      <c r="AK1316" s="40" t="s">
        <v>1978</v>
      </c>
      <c r="AL1316" s="32">
        <v>2014</v>
      </c>
      <c r="AM1316" s="32" t="s">
        <v>1979</v>
      </c>
      <c r="AN1316" s="32" t="s">
        <v>1980</v>
      </c>
      <c r="AO1316" s="38" t="s">
        <v>1981</v>
      </c>
      <c r="AP1316" s="35" t="s">
        <v>396</v>
      </c>
    </row>
    <row r="1317" spans="1:42" x14ac:dyDescent="0.2">
      <c r="A1317" s="40">
        <v>135</v>
      </c>
      <c r="B1317" s="40">
        <v>1316</v>
      </c>
      <c r="C1317" s="40" t="s">
        <v>119</v>
      </c>
      <c r="D1317" s="38" t="s">
        <v>128</v>
      </c>
      <c r="E1317" s="32" t="s">
        <v>2183</v>
      </c>
      <c r="F1317" s="32" t="s">
        <v>237</v>
      </c>
      <c r="G1317" s="38" t="s">
        <v>1923</v>
      </c>
      <c r="H1317" s="32" t="s">
        <v>151</v>
      </c>
      <c r="I1317" s="32" t="s">
        <v>243</v>
      </c>
      <c r="J1317" s="32" t="s">
        <v>1976</v>
      </c>
      <c r="K1317" s="32" t="s">
        <v>1513</v>
      </c>
      <c r="L1317" s="32" t="s">
        <v>30</v>
      </c>
      <c r="M1317" s="32" t="s">
        <v>30</v>
      </c>
      <c r="N1317" s="40">
        <v>2009</v>
      </c>
      <c r="O1317" s="32">
        <f>VLOOKUP(Data!N1201, CPI!$A$2:$B$112, 2, 0)</f>
        <v>218.05600000000001</v>
      </c>
      <c r="P1317" s="32" t="s">
        <v>238</v>
      </c>
      <c r="Q1317" s="32" t="s">
        <v>239</v>
      </c>
      <c r="R1317" s="32" t="s">
        <v>1968</v>
      </c>
      <c r="S1317" s="32">
        <v>763000</v>
      </c>
      <c r="T1317" s="32" t="s">
        <v>2738</v>
      </c>
      <c r="U1317" s="32">
        <f>S1317/(1/0.83)</f>
        <v>633290</v>
      </c>
      <c r="V1317" s="32" t="s">
        <v>1487</v>
      </c>
      <c r="W1317" s="32">
        <f>VLOOKUP(N1317, 'Exchange rate- Vietnam'!$A$2:$B$65, 2, 0)</f>
        <v>17065.083333333299</v>
      </c>
      <c r="X1317" s="32">
        <f t="shared" si="84"/>
        <v>37.110278785629603</v>
      </c>
      <c r="Y1317" s="32">
        <f>(CPI!$B$112/O1317)*X1317</f>
        <v>51.851997340130858</v>
      </c>
      <c r="Z1317" s="38" t="s">
        <v>1609</v>
      </c>
      <c r="AA1317" s="35" t="s">
        <v>1425</v>
      </c>
      <c r="AB1317" s="32">
        <v>39400</v>
      </c>
      <c r="AH1317" s="32" t="s">
        <v>411</v>
      </c>
      <c r="AI1317" s="32" t="s">
        <v>1977</v>
      </c>
      <c r="AJ1317" s="35" t="s">
        <v>2739</v>
      </c>
      <c r="AK1317" s="40" t="s">
        <v>1978</v>
      </c>
      <c r="AL1317" s="32">
        <v>2014</v>
      </c>
      <c r="AM1317" s="32" t="s">
        <v>1979</v>
      </c>
      <c r="AN1317" s="32" t="s">
        <v>1980</v>
      </c>
      <c r="AO1317" s="38" t="s">
        <v>1981</v>
      </c>
      <c r="AP1317" s="35" t="s">
        <v>396</v>
      </c>
    </row>
    <row r="1318" spans="1:42" x14ac:dyDescent="0.2">
      <c r="A1318" s="40">
        <v>135</v>
      </c>
      <c r="B1318" s="40">
        <v>1317</v>
      </c>
      <c r="C1318" s="40" t="s">
        <v>119</v>
      </c>
      <c r="D1318" s="38" t="s">
        <v>128</v>
      </c>
      <c r="E1318" s="32" t="s">
        <v>2183</v>
      </c>
      <c r="F1318" s="32" t="s">
        <v>237</v>
      </c>
      <c r="G1318" s="38" t="s">
        <v>213</v>
      </c>
      <c r="H1318" s="32" t="s">
        <v>151</v>
      </c>
      <c r="I1318" s="32" t="s">
        <v>243</v>
      </c>
      <c r="J1318" s="32" t="s">
        <v>1976</v>
      </c>
      <c r="K1318" s="32" t="s">
        <v>1513</v>
      </c>
      <c r="L1318" s="32" t="s">
        <v>30</v>
      </c>
      <c r="M1318" s="32" t="s">
        <v>30</v>
      </c>
      <c r="N1318" s="40">
        <v>2009</v>
      </c>
      <c r="O1318" s="32">
        <f>VLOOKUP(Data!N1202, CPI!$A$2:$B$112, 2, 0)</f>
        <v>218.05600000000001</v>
      </c>
      <c r="P1318" s="32" t="s">
        <v>238</v>
      </c>
      <c r="Q1318" s="32" t="s">
        <v>239</v>
      </c>
      <c r="R1318" s="32" t="s">
        <v>1969</v>
      </c>
      <c r="S1318" s="32">
        <v>230000</v>
      </c>
      <c r="T1318" s="32" t="s">
        <v>2738</v>
      </c>
      <c r="U1318" s="32">
        <f>S1318/(1/0.83)</f>
        <v>190899.99999999997</v>
      </c>
      <c r="V1318" s="32" t="s">
        <v>1487</v>
      </c>
      <c r="W1318" s="32">
        <f>VLOOKUP(N1318, 'Exchange rate- Vietnam'!$A$2:$B$65, 2, 0)</f>
        <v>17065.083333333299</v>
      </c>
      <c r="X1318" s="32">
        <f t="shared" si="84"/>
        <v>11.186584692915867</v>
      </c>
      <c r="Y1318" s="32">
        <f>(CPI!$B$112/O1318)*X1318</f>
        <v>15.630353064521749</v>
      </c>
      <c r="Z1318" s="38" t="s">
        <v>1609</v>
      </c>
      <c r="AA1318" s="35" t="s">
        <v>1425</v>
      </c>
      <c r="AB1318" s="32">
        <v>39400</v>
      </c>
      <c r="AH1318" s="32" t="s">
        <v>411</v>
      </c>
      <c r="AI1318" s="32" t="s">
        <v>1977</v>
      </c>
      <c r="AJ1318" s="35" t="s">
        <v>2739</v>
      </c>
      <c r="AK1318" s="40" t="s">
        <v>1978</v>
      </c>
      <c r="AL1318" s="32">
        <v>2014</v>
      </c>
      <c r="AM1318" s="32" t="s">
        <v>1979</v>
      </c>
      <c r="AN1318" s="32" t="s">
        <v>1980</v>
      </c>
      <c r="AO1318" s="38" t="s">
        <v>1981</v>
      </c>
      <c r="AP1318" s="35" t="s">
        <v>396</v>
      </c>
    </row>
    <row r="1319" spans="1:42" x14ac:dyDescent="0.2">
      <c r="A1319" s="40">
        <v>135</v>
      </c>
      <c r="B1319" s="40">
        <v>1318</v>
      </c>
      <c r="C1319" s="40" t="s">
        <v>119</v>
      </c>
      <c r="D1319" s="38" t="s">
        <v>128</v>
      </c>
      <c r="E1319" s="32" t="s">
        <v>2186</v>
      </c>
      <c r="F1319" s="32" t="s">
        <v>21</v>
      </c>
      <c r="G1319" s="38" t="s">
        <v>163</v>
      </c>
      <c r="H1319" s="32" t="s">
        <v>151</v>
      </c>
      <c r="I1319" s="32" t="s">
        <v>243</v>
      </c>
      <c r="J1319" s="32" t="s">
        <v>1976</v>
      </c>
      <c r="K1319" s="32" t="s">
        <v>1513</v>
      </c>
      <c r="L1319" s="32" t="s">
        <v>30</v>
      </c>
      <c r="M1319" s="32" t="s">
        <v>30</v>
      </c>
      <c r="N1319" s="40">
        <v>2009</v>
      </c>
      <c r="O1319" s="32">
        <f>VLOOKUP(Data!N1203, CPI!$A$2:$B$112, 2, 0)</f>
        <v>218.05600000000001</v>
      </c>
      <c r="P1319" s="32" t="s">
        <v>238</v>
      </c>
      <c r="Q1319" s="32" t="s">
        <v>239</v>
      </c>
      <c r="R1319" s="32" t="s">
        <v>1970</v>
      </c>
      <c r="S1319" s="32">
        <v>141000</v>
      </c>
      <c r="T1319" s="32" t="s">
        <v>2738</v>
      </c>
      <c r="U1319" s="32">
        <f>S1319/(1/0.83)</f>
        <v>117029.99999999999</v>
      </c>
      <c r="V1319" s="32" t="s">
        <v>1487</v>
      </c>
      <c r="W1319" s="32">
        <f>VLOOKUP(N1319, 'Exchange rate- Vietnam'!$A$2:$B$65, 2, 0)</f>
        <v>17065.083333333299</v>
      </c>
      <c r="X1319" s="32">
        <f t="shared" si="84"/>
        <v>6.8578627900049449</v>
      </c>
      <c r="Y1319" s="32">
        <f>(CPI!$B$112/O1319)*X1319</f>
        <v>9.5820860091198554</v>
      </c>
      <c r="Z1319" s="38" t="s">
        <v>1609</v>
      </c>
      <c r="AA1319" s="35" t="s">
        <v>1425</v>
      </c>
      <c r="AB1319" s="32">
        <v>39400</v>
      </c>
      <c r="AH1319" s="32" t="s">
        <v>411</v>
      </c>
      <c r="AI1319" s="32" t="s">
        <v>1977</v>
      </c>
      <c r="AJ1319" s="35" t="s">
        <v>2739</v>
      </c>
      <c r="AK1319" s="40" t="s">
        <v>1978</v>
      </c>
      <c r="AL1319" s="32">
        <v>2014</v>
      </c>
      <c r="AM1319" s="32" t="s">
        <v>1979</v>
      </c>
      <c r="AN1319" s="32" t="s">
        <v>1980</v>
      </c>
      <c r="AO1319" s="38" t="s">
        <v>1981</v>
      </c>
      <c r="AP1319" s="35" t="s">
        <v>396</v>
      </c>
    </row>
    <row r="1320" spans="1:42" x14ac:dyDescent="0.2">
      <c r="A1320" s="40">
        <v>135</v>
      </c>
      <c r="B1320" s="40">
        <v>1319</v>
      </c>
      <c r="C1320" s="40" t="s">
        <v>119</v>
      </c>
      <c r="D1320" s="38" t="s">
        <v>128</v>
      </c>
      <c r="E1320" s="32" t="s">
        <v>2183</v>
      </c>
      <c r="F1320" s="32" t="s">
        <v>237</v>
      </c>
      <c r="G1320" s="38" t="s">
        <v>1923</v>
      </c>
      <c r="H1320" s="32" t="s">
        <v>151</v>
      </c>
      <c r="I1320" s="32" t="s">
        <v>243</v>
      </c>
      <c r="J1320" s="32" t="s">
        <v>1975</v>
      </c>
      <c r="K1320" s="32" t="s">
        <v>1513</v>
      </c>
      <c r="L1320" s="32" t="s">
        <v>30</v>
      </c>
      <c r="M1320" s="32" t="s">
        <v>30</v>
      </c>
      <c r="N1320" s="40">
        <v>2009</v>
      </c>
      <c r="O1320" s="32">
        <f>VLOOKUP(Data!N1204, CPI!$A$2:$B$112, 2, 0)</f>
        <v>218.05600000000001</v>
      </c>
      <c r="P1320" s="32" t="s">
        <v>238</v>
      </c>
      <c r="Q1320" s="32" t="s">
        <v>239</v>
      </c>
      <c r="R1320" s="32" t="s">
        <v>1967</v>
      </c>
      <c r="S1320" s="32">
        <v>78000</v>
      </c>
      <c r="T1320" s="32" t="s">
        <v>1973</v>
      </c>
      <c r="U1320" s="32">
        <f>S1320/3.12</f>
        <v>25000</v>
      </c>
      <c r="V1320" s="32" t="s">
        <v>1487</v>
      </c>
      <c r="W1320" s="32">
        <f>VLOOKUP(N1320, 'Exchange rate- Vietnam'!$A$2:$B$65, 2, 0)</f>
        <v>17065.083333333299</v>
      </c>
      <c r="X1320" s="32">
        <f t="shared" si="84"/>
        <v>1.46497966119904</v>
      </c>
      <c r="Y1320" s="32">
        <f>(CPI!$B$112/O1320)*X1320</f>
        <v>2.0469294217550749</v>
      </c>
      <c r="Z1320" s="38" t="s">
        <v>1609</v>
      </c>
      <c r="AA1320" s="35" t="s">
        <v>1425</v>
      </c>
      <c r="AB1320" s="32">
        <v>39400</v>
      </c>
      <c r="AH1320" s="32" t="s">
        <v>411</v>
      </c>
      <c r="AI1320" s="32" t="s">
        <v>1974</v>
      </c>
      <c r="AJ1320" s="35" t="s">
        <v>2739</v>
      </c>
      <c r="AK1320" s="40" t="s">
        <v>1978</v>
      </c>
      <c r="AL1320" s="32">
        <v>2014</v>
      </c>
      <c r="AM1320" s="32" t="s">
        <v>1979</v>
      </c>
      <c r="AN1320" s="32" t="s">
        <v>1980</v>
      </c>
      <c r="AO1320" s="38" t="s">
        <v>1981</v>
      </c>
      <c r="AP1320" s="35" t="s">
        <v>396</v>
      </c>
    </row>
    <row r="1321" spans="1:42" x14ac:dyDescent="0.2">
      <c r="A1321" s="40">
        <v>135</v>
      </c>
      <c r="B1321" s="40">
        <v>1320</v>
      </c>
      <c r="C1321" s="40" t="s">
        <v>119</v>
      </c>
      <c r="D1321" s="38" t="s">
        <v>128</v>
      </c>
      <c r="E1321" s="32" t="s">
        <v>2183</v>
      </c>
      <c r="F1321" s="32" t="s">
        <v>237</v>
      </c>
      <c r="G1321" s="38" t="s">
        <v>1923</v>
      </c>
      <c r="H1321" s="32" t="s">
        <v>151</v>
      </c>
      <c r="I1321" s="32" t="s">
        <v>243</v>
      </c>
      <c r="J1321" s="32" t="s">
        <v>1975</v>
      </c>
      <c r="K1321" s="32" t="s">
        <v>1513</v>
      </c>
      <c r="L1321" s="32" t="s">
        <v>30</v>
      </c>
      <c r="M1321" s="32" t="s">
        <v>30</v>
      </c>
      <c r="N1321" s="40">
        <v>2009</v>
      </c>
      <c r="O1321" s="32">
        <f>VLOOKUP(Data!N1205, CPI!$A$2:$B$112, 2, 0)</f>
        <v>218.05600000000001</v>
      </c>
      <c r="P1321" s="32" t="s">
        <v>238</v>
      </c>
      <c r="Q1321" s="32" t="s">
        <v>239</v>
      </c>
      <c r="R1321" s="32" t="s">
        <v>1968</v>
      </c>
      <c r="S1321" s="32">
        <v>904000</v>
      </c>
      <c r="T1321" s="32" t="s">
        <v>1973</v>
      </c>
      <c r="U1321" s="32">
        <f>S1321/3.12</f>
        <v>289743.58974358975</v>
      </c>
      <c r="V1321" s="32" t="s">
        <v>1487</v>
      </c>
      <c r="W1321" s="32">
        <f>VLOOKUP(N1321, 'Exchange rate- Vietnam'!$A$2:$B$65, 2, 0)</f>
        <v>17065.083333333299</v>
      </c>
      <c r="X1321" s="32">
        <f t="shared" si="84"/>
        <v>16.978738637486309</v>
      </c>
      <c r="Y1321" s="32">
        <f>(CPI!$B$112/O1321)*X1321</f>
        <v>23.723387144443432</v>
      </c>
      <c r="Z1321" s="38" t="s">
        <v>1609</v>
      </c>
      <c r="AA1321" s="35" t="s">
        <v>1425</v>
      </c>
      <c r="AB1321" s="32">
        <v>39400</v>
      </c>
      <c r="AH1321" s="32" t="s">
        <v>411</v>
      </c>
      <c r="AI1321" s="32" t="s">
        <v>1974</v>
      </c>
      <c r="AJ1321" s="35" t="s">
        <v>2739</v>
      </c>
      <c r="AK1321" s="40" t="s">
        <v>1978</v>
      </c>
      <c r="AL1321" s="32">
        <v>2014</v>
      </c>
      <c r="AM1321" s="32" t="s">
        <v>1979</v>
      </c>
      <c r="AN1321" s="32" t="s">
        <v>1980</v>
      </c>
      <c r="AO1321" s="38" t="s">
        <v>1981</v>
      </c>
      <c r="AP1321" s="35" t="s">
        <v>396</v>
      </c>
    </row>
    <row r="1322" spans="1:42" x14ac:dyDescent="0.2">
      <c r="A1322" s="40">
        <v>135</v>
      </c>
      <c r="B1322" s="40">
        <v>1321</v>
      </c>
      <c r="C1322" s="40" t="s">
        <v>119</v>
      </c>
      <c r="D1322" s="38" t="s">
        <v>128</v>
      </c>
      <c r="E1322" s="32" t="s">
        <v>2183</v>
      </c>
      <c r="F1322" s="32" t="s">
        <v>237</v>
      </c>
      <c r="G1322" s="38" t="s">
        <v>213</v>
      </c>
      <c r="H1322" s="32" t="s">
        <v>151</v>
      </c>
      <c r="I1322" s="32" t="s">
        <v>243</v>
      </c>
      <c r="J1322" s="32" t="s">
        <v>1975</v>
      </c>
      <c r="K1322" s="32" t="s">
        <v>1513</v>
      </c>
      <c r="L1322" s="32" t="s">
        <v>30</v>
      </c>
      <c r="M1322" s="32" t="s">
        <v>30</v>
      </c>
      <c r="N1322" s="40">
        <v>2009</v>
      </c>
      <c r="O1322" s="32">
        <f>VLOOKUP(Data!N1206, CPI!$A$2:$B$112, 2, 0)</f>
        <v>218.05600000000001</v>
      </c>
      <c r="P1322" s="32" t="s">
        <v>238</v>
      </c>
      <c r="Q1322" s="32" t="s">
        <v>239</v>
      </c>
      <c r="R1322" s="32" t="s">
        <v>1969</v>
      </c>
      <c r="S1322" s="32">
        <v>416000</v>
      </c>
      <c r="T1322" s="32" t="s">
        <v>1973</v>
      </c>
      <c r="U1322" s="32">
        <f>S1322/3.12</f>
        <v>133333.33333333334</v>
      </c>
      <c r="V1322" s="32" t="s">
        <v>1487</v>
      </c>
      <c r="W1322" s="32">
        <f>VLOOKUP(N1322, 'Exchange rate- Vietnam'!$A$2:$B$65, 2, 0)</f>
        <v>17065.083333333299</v>
      </c>
      <c r="X1322" s="32">
        <f t="shared" si="84"/>
        <v>7.8132248597282139</v>
      </c>
      <c r="Y1322" s="32">
        <f>(CPI!$B$112/O1322)*X1322</f>
        <v>10.916956916027068</v>
      </c>
      <c r="Z1322" s="38" t="s">
        <v>1609</v>
      </c>
      <c r="AA1322" s="35" t="s">
        <v>1425</v>
      </c>
      <c r="AB1322" s="32">
        <v>39400</v>
      </c>
      <c r="AH1322" s="32" t="s">
        <v>411</v>
      </c>
      <c r="AI1322" s="32" t="s">
        <v>1974</v>
      </c>
      <c r="AJ1322" s="35" t="s">
        <v>2739</v>
      </c>
      <c r="AK1322" s="40" t="s">
        <v>1978</v>
      </c>
      <c r="AL1322" s="32">
        <v>2014</v>
      </c>
      <c r="AM1322" s="32" t="s">
        <v>1979</v>
      </c>
      <c r="AN1322" s="32" t="s">
        <v>1980</v>
      </c>
      <c r="AO1322" s="38" t="s">
        <v>1981</v>
      </c>
      <c r="AP1322" s="35" t="s">
        <v>396</v>
      </c>
    </row>
    <row r="1323" spans="1:42" x14ac:dyDescent="0.2">
      <c r="A1323" s="40">
        <v>135</v>
      </c>
      <c r="B1323" s="40">
        <v>1322</v>
      </c>
      <c r="C1323" s="40" t="s">
        <v>119</v>
      </c>
      <c r="D1323" s="38" t="s">
        <v>128</v>
      </c>
      <c r="E1323" s="32" t="s">
        <v>2186</v>
      </c>
      <c r="F1323" s="32" t="s">
        <v>21</v>
      </c>
      <c r="G1323" s="38" t="s">
        <v>163</v>
      </c>
      <c r="H1323" s="32" t="s">
        <v>151</v>
      </c>
      <c r="I1323" s="32" t="s">
        <v>243</v>
      </c>
      <c r="J1323" s="32" t="s">
        <v>1975</v>
      </c>
      <c r="K1323" s="32" t="s">
        <v>1513</v>
      </c>
      <c r="L1323" s="32" t="s">
        <v>30</v>
      </c>
      <c r="M1323" s="32" t="s">
        <v>30</v>
      </c>
      <c r="N1323" s="40">
        <v>2009</v>
      </c>
      <c r="O1323" s="32">
        <f>VLOOKUP(Data!N1207, CPI!$A$2:$B$112, 2, 0)</f>
        <v>218.05600000000001</v>
      </c>
      <c r="P1323" s="32" t="s">
        <v>238</v>
      </c>
      <c r="Q1323" s="32" t="s">
        <v>239</v>
      </c>
      <c r="R1323" s="32" t="s">
        <v>1970</v>
      </c>
      <c r="S1323" s="32">
        <v>167000</v>
      </c>
      <c r="T1323" s="32" t="s">
        <v>1973</v>
      </c>
      <c r="U1323" s="32">
        <f>S1323/3.12</f>
        <v>53525.641025641024</v>
      </c>
      <c r="V1323" s="32" t="s">
        <v>1487</v>
      </c>
      <c r="W1323" s="32">
        <f>VLOOKUP(N1323, 'Exchange rate- Vietnam'!$A$2:$B$65, 2, 0)</f>
        <v>17065.083333333299</v>
      </c>
      <c r="X1323" s="32">
        <f t="shared" si="84"/>
        <v>3.1365590182082008</v>
      </c>
      <c r="Y1323" s="32">
        <f>(CPI!$B$112/O1323)*X1323</f>
        <v>4.3825283773474037</v>
      </c>
      <c r="Z1323" s="38" t="s">
        <v>1609</v>
      </c>
      <c r="AA1323" s="35" t="s">
        <v>1425</v>
      </c>
      <c r="AB1323" s="32">
        <v>39400</v>
      </c>
      <c r="AH1323" s="32" t="s">
        <v>411</v>
      </c>
      <c r="AI1323" s="32" t="s">
        <v>1974</v>
      </c>
      <c r="AJ1323" s="35" t="s">
        <v>2739</v>
      </c>
      <c r="AK1323" s="40" t="s">
        <v>1978</v>
      </c>
      <c r="AL1323" s="32">
        <v>2014</v>
      </c>
      <c r="AM1323" s="32" t="s">
        <v>1979</v>
      </c>
      <c r="AN1323" s="32" t="s">
        <v>1980</v>
      </c>
      <c r="AO1323" s="38" t="s">
        <v>1981</v>
      </c>
      <c r="AP1323" s="35" t="s">
        <v>396</v>
      </c>
    </row>
    <row r="1324" spans="1:42" x14ac:dyDescent="0.2">
      <c r="A1324" s="40">
        <v>135</v>
      </c>
      <c r="B1324" s="40">
        <v>1323</v>
      </c>
      <c r="C1324" s="40" t="s">
        <v>119</v>
      </c>
      <c r="D1324" s="38" t="s">
        <v>128</v>
      </c>
      <c r="E1324" s="32" t="s">
        <v>2183</v>
      </c>
      <c r="F1324" s="32" t="s">
        <v>237</v>
      </c>
      <c r="G1324" s="38" t="s">
        <v>154</v>
      </c>
      <c r="H1324" s="32" t="s">
        <v>151</v>
      </c>
      <c r="I1324" s="32" t="s">
        <v>243</v>
      </c>
      <c r="J1324" s="32" t="s">
        <v>1976</v>
      </c>
      <c r="K1324" s="32" t="s">
        <v>1513</v>
      </c>
      <c r="L1324" s="32" t="s">
        <v>30</v>
      </c>
      <c r="M1324" s="32" t="s">
        <v>30</v>
      </c>
      <c r="N1324" s="40">
        <v>2009</v>
      </c>
      <c r="O1324" s="32">
        <f>VLOOKUP(Data!N1560, CPI!$A$2:$B$112, 2, 0)</f>
        <v>251.107</v>
      </c>
      <c r="P1324" s="32" t="s">
        <v>238</v>
      </c>
      <c r="Q1324" s="32" t="s">
        <v>239</v>
      </c>
      <c r="R1324" s="32" t="s">
        <v>1971</v>
      </c>
      <c r="S1324" s="32">
        <v>8000</v>
      </c>
      <c r="T1324" s="32" t="s">
        <v>2738</v>
      </c>
      <c r="Z1324" s="38" t="s">
        <v>1609</v>
      </c>
      <c r="AA1324" s="35" t="s">
        <v>1425</v>
      </c>
      <c r="AB1324" s="32">
        <v>39400</v>
      </c>
      <c r="AH1324" s="32" t="s">
        <v>411</v>
      </c>
      <c r="AI1324" s="32" t="s">
        <v>2741</v>
      </c>
      <c r="AJ1324" s="35" t="s">
        <v>2759</v>
      </c>
      <c r="AK1324" s="40" t="s">
        <v>1978</v>
      </c>
      <c r="AL1324" s="32">
        <v>2014</v>
      </c>
      <c r="AM1324" s="32" t="s">
        <v>1979</v>
      </c>
      <c r="AN1324" s="32" t="s">
        <v>1980</v>
      </c>
      <c r="AO1324" s="38" t="s">
        <v>1981</v>
      </c>
      <c r="AP1324" s="35" t="s">
        <v>396</v>
      </c>
    </row>
    <row r="1325" spans="1:42" x14ac:dyDescent="0.2">
      <c r="A1325" s="40">
        <v>135</v>
      </c>
      <c r="B1325" s="40">
        <v>1324</v>
      </c>
      <c r="C1325" s="40" t="s">
        <v>119</v>
      </c>
      <c r="D1325" s="38" t="s">
        <v>128</v>
      </c>
      <c r="E1325" s="32" t="s">
        <v>2183</v>
      </c>
      <c r="F1325" s="32" t="s">
        <v>237</v>
      </c>
      <c r="G1325" s="38" t="s">
        <v>117</v>
      </c>
      <c r="H1325" s="32" t="s">
        <v>151</v>
      </c>
      <c r="I1325" s="32" t="s">
        <v>243</v>
      </c>
      <c r="J1325" s="32" t="s">
        <v>1976</v>
      </c>
      <c r="K1325" s="32" t="s">
        <v>1513</v>
      </c>
      <c r="L1325" s="32" t="s">
        <v>30</v>
      </c>
      <c r="M1325" s="32" t="s">
        <v>30</v>
      </c>
      <c r="N1325" s="40">
        <v>2009</v>
      </c>
      <c r="O1325" s="32">
        <f>VLOOKUP(Data!N1561, CPI!$A$2:$B$112, 2, 0)</f>
        <v>255.65700000000001</v>
      </c>
      <c r="P1325" s="32" t="s">
        <v>238</v>
      </c>
      <c r="Q1325" s="32" t="s">
        <v>239</v>
      </c>
      <c r="R1325" s="32" t="s">
        <v>1972</v>
      </c>
      <c r="S1325" s="32">
        <v>573000</v>
      </c>
      <c r="T1325" s="32" t="s">
        <v>2738</v>
      </c>
      <c r="Z1325" s="38" t="s">
        <v>1609</v>
      </c>
      <c r="AA1325" s="35" t="s">
        <v>1425</v>
      </c>
      <c r="AB1325" s="32">
        <v>39400</v>
      </c>
      <c r="AH1325" s="32" t="s">
        <v>411</v>
      </c>
      <c r="AI1325" s="32" t="s">
        <v>2741</v>
      </c>
      <c r="AJ1325" s="35" t="s">
        <v>2760</v>
      </c>
      <c r="AK1325" s="40" t="s">
        <v>1978</v>
      </c>
      <c r="AL1325" s="32">
        <v>2014</v>
      </c>
      <c r="AM1325" s="32" t="s">
        <v>1979</v>
      </c>
      <c r="AN1325" s="32" t="s">
        <v>1980</v>
      </c>
      <c r="AO1325" s="38" t="s">
        <v>1981</v>
      </c>
      <c r="AP1325" s="35" t="s">
        <v>396</v>
      </c>
    </row>
    <row r="1326" spans="1:42" x14ac:dyDescent="0.2">
      <c r="A1326" s="40">
        <v>135</v>
      </c>
      <c r="B1326" s="40">
        <v>1325</v>
      </c>
      <c r="C1326" s="40" t="s">
        <v>119</v>
      </c>
      <c r="D1326" s="38" t="s">
        <v>128</v>
      </c>
      <c r="E1326" s="32" t="s">
        <v>2183</v>
      </c>
      <c r="F1326" s="32" t="s">
        <v>237</v>
      </c>
      <c r="G1326" s="38" t="s">
        <v>154</v>
      </c>
      <c r="H1326" s="32" t="s">
        <v>151</v>
      </c>
      <c r="I1326" s="32" t="s">
        <v>243</v>
      </c>
      <c r="J1326" s="32" t="s">
        <v>1975</v>
      </c>
      <c r="K1326" s="32" t="s">
        <v>1513</v>
      </c>
      <c r="L1326" s="32" t="s">
        <v>30</v>
      </c>
      <c r="M1326" s="32" t="s">
        <v>30</v>
      </c>
      <c r="N1326" s="40">
        <v>2009</v>
      </c>
      <c r="O1326" s="32">
        <f>VLOOKUP(Data!N1562, CPI!$A$2:$B$112, 2, 0)</f>
        <v>258.81099999999998</v>
      </c>
      <c r="P1326" s="32" t="s">
        <v>238</v>
      </c>
      <c r="Q1326" s="32" t="s">
        <v>239</v>
      </c>
      <c r="R1326" s="32" t="s">
        <v>1971</v>
      </c>
      <c r="S1326" s="32">
        <v>41000</v>
      </c>
      <c r="T1326" s="32" t="s">
        <v>1973</v>
      </c>
      <c r="Z1326" s="38" t="s">
        <v>1609</v>
      </c>
      <c r="AA1326" s="35" t="s">
        <v>1425</v>
      </c>
      <c r="AB1326" s="32">
        <v>39400</v>
      </c>
      <c r="AH1326" s="32" t="s">
        <v>411</v>
      </c>
      <c r="AI1326" s="32" t="s">
        <v>2740</v>
      </c>
      <c r="AJ1326" s="35" t="s">
        <v>2759</v>
      </c>
      <c r="AK1326" s="40" t="s">
        <v>1978</v>
      </c>
      <c r="AL1326" s="32">
        <v>2014</v>
      </c>
      <c r="AM1326" s="32" t="s">
        <v>1979</v>
      </c>
      <c r="AN1326" s="32" t="s">
        <v>1980</v>
      </c>
      <c r="AO1326" s="38" t="s">
        <v>1981</v>
      </c>
      <c r="AP1326" s="35" t="s">
        <v>396</v>
      </c>
    </row>
    <row r="1327" spans="1:42" x14ac:dyDescent="0.2">
      <c r="A1327" s="40">
        <v>135</v>
      </c>
      <c r="B1327" s="40">
        <v>1326</v>
      </c>
      <c r="C1327" s="40" t="s">
        <v>119</v>
      </c>
      <c r="D1327" s="38" t="s">
        <v>128</v>
      </c>
      <c r="E1327" s="32" t="s">
        <v>2183</v>
      </c>
      <c r="F1327" s="32" t="s">
        <v>237</v>
      </c>
      <c r="G1327" s="38" t="s">
        <v>117</v>
      </c>
      <c r="H1327" s="32" t="s">
        <v>151</v>
      </c>
      <c r="I1327" s="32" t="s">
        <v>243</v>
      </c>
      <c r="J1327" s="32" t="s">
        <v>1975</v>
      </c>
      <c r="K1327" s="32" t="s">
        <v>1513</v>
      </c>
      <c r="L1327" s="32" t="s">
        <v>30</v>
      </c>
      <c r="M1327" s="32" t="s">
        <v>30</v>
      </c>
      <c r="N1327" s="40">
        <v>2009</v>
      </c>
      <c r="O1327" s="32">
        <f>VLOOKUP(Data!N1563, CPI!$A$2:$B$112, 2, 0)</f>
        <v>251.107</v>
      </c>
      <c r="P1327" s="32" t="s">
        <v>238</v>
      </c>
      <c r="Q1327" s="32" t="s">
        <v>239</v>
      </c>
      <c r="R1327" s="32" t="s">
        <v>1972</v>
      </c>
      <c r="S1327" s="32">
        <v>125000</v>
      </c>
      <c r="T1327" s="32" t="s">
        <v>1973</v>
      </c>
      <c r="Z1327" s="38" t="s">
        <v>1609</v>
      </c>
      <c r="AA1327" s="35" t="s">
        <v>1425</v>
      </c>
      <c r="AB1327" s="32">
        <v>39400</v>
      </c>
      <c r="AH1327" s="32" t="s">
        <v>411</v>
      </c>
      <c r="AI1327" s="32" t="s">
        <v>2740</v>
      </c>
      <c r="AJ1327" s="35" t="s">
        <v>2760</v>
      </c>
      <c r="AK1327" s="40" t="s">
        <v>1978</v>
      </c>
      <c r="AL1327" s="32">
        <v>2014</v>
      </c>
      <c r="AM1327" s="32" t="s">
        <v>1979</v>
      </c>
      <c r="AN1327" s="32" t="s">
        <v>1980</v>
      </c>
      <c r="AO1327" s="38" t="s">
        <v>1981</v>
      </c>
      <c r="AP1327" s="35" t="s">
        <v>396</v>
      </c>
    </row>
    <row r="1328" spans="1:42" x14ac:dyDescent="0.2">
      <c r="A1328" s="40">
        <v>136</v>
      </c>
      <c r="B1328" s="40">
        <v>1327</v>
      </c>
      <c r="C1328" s="40" t="s">
        <v>35</v>
      </c>
      <c r="D1328" s="54" t="s">
        <v>34</v>
      </c>
      <c r="E1328" s="32" t="s">
        <v>2183</v>
      </c>
      <c r="F1328" s="32" t="s">
        <v>237</v>
      </c>
      <c r="G1328" s="38" t="s">
        <v>154</v>
      </c>
      <c r="H1328" s="32" t="s">
        <v>151</v>
      </c>
      <c r="I1328" s="32" t="s">
        <v>61</v>
      </c>
      <c r="J1328" s="32" t="s">
        <v>1982</v>
      </c>
      <c r="K1328" s="32" t="s">
        <v>1513</v>
      </c>
      <c r="L1328" s="32" t="s">
        <v>30</v>
      </c>
      <c r="M1328" s="32" t="s">
        <v>30</v>
      </c>
      <c r="N1328" s="40">
        <v>2008</v>
      </c>
      <c r="O1328" s="32">
        <f>VLOOKUP(Data!N1564, CPI!$A$2:$B$112, 2, 0)</f>
        <v>251.107</v>
      </c>
      <c r="P1328" s="32" t="s">
        <v>238</v>
      </c>
      <c r="Q1328" s="32" t="s">
        <v>247</v>
      </c>
      <c r="R1328" s="32" t="s">
        <v>1983</v>
      </c>
      <c r="S1328" s="32">
        <v>100000</v>
      </c>
      <c r="T1328" s="32" t="s">
        <v>1292</v>
      </c>
      <c r="Z1328" s="38" t="s">
        <v>1609</v>
      </c>
      <c r="AA1328" s="35" t="s">
        <v>1985</v>
      </c>
      <c r="AB1328" s="32" t="s">
        <v>30</v>
      </c>
      <c r="AH1328" s="32" t="s">
        <v>397</v>
      </c>
      <c r="AI1328" s="32" t="s">
        <v>2734</v>
      </c>
      <c r="AK1328" s="40" t="s">
        <v>1988</v>
      </c>
      <c r="AL1328" s="32">
        <v>2011</v>
      </c>
      <c r="AM1328" s="32" t="s">
        <v>1989</v>
      </c>
      <c r="AN1328" s="32" t="s">
        <v>1990</v>
      </c>
      <c r="AO1328" s="38" t="s">
        <v>1991</v>
      </c>
      <c r="AP1328" s="35" t="s">
        <v>396</v>
      </c>
    </row>
    <row r="1329" spans="1:42" x14ac:dyDescent="0.2">
      <c r="A1329" s="40">
        <v>136</v>
      </c>
      <c r="B1329" s="40">
        <v>1328</v>
      </c>
      <c r="C1329" s="40" t="s">
        <v>35</v>
      </c>
      <c r="D1329" s="54" t="s">
        <v>34</v>
      </c>
      <c r="E1329" s="32" t="s">
        <v>2183</v>
      </c>
      <c r="F1329" s="32" t="s">
        <v>237</v>
      </c>
      <c r="G1329" s="38" t="s">
        <v>154</v>
      </c>
      <c r="H1329" s="32" t="s">
        <v>151</v>
      </c>
      <c r="I1329" s="32" t="s">
        <v>61</v>
      </c>
      <c r="J1329" s="32" t="s">
        <v>1982</v>
      </c>
      <c r="K1329" s="32" t="s">
        <v>1513</v>
      </c>
      <c r="L1329" s="32" t="s">
        <v>30</v>
      </c>
      <c r="M1329" s="32" t="s">
        <v>30</v>
      </c>
      <c r="N1329" s="40">
        <v>2008</v>
      </c>
      <c r="O1329" s="32">
        <f>VLOOKUP(Data!N1565, CPI!$A$2:$B$112, 2, 0)</f>
        <v>251.107</v>
      </c>
      <c r="P1329" s="32" t="s">
        <v>238</v>
      </c>
      <c r="Q1329" s="32" t="s">
        <v>247</v>
      </c>
      <c r="R1329" s="32" t="s">
        <v>1984</v>
      </c>
      <c r="S1329" s="32">
        <v>160000</v>
      </c>
      <c r="T1329" s="32" t="s">
        <v>1292</v>
      </c>
      <c r="Z1329" s="38" t="s">
        <v>1609</v>
      </c>
      <c r="AA1329" s="35" t="s">
        <v>1985</v>
      </c>
      <c r="AB1329" s="32" t="s">
        <v>30</v>
      </c>
      <c r="AH1329" s="32" t="s">
        <v>397</v>
      </c>
      <c r="AI1329" s="32" t="s">
        <v>2734</v>
      </c>
      <c r="AK1329" s="40" t="s">
        <v>1988</v>
      </c>
      <c r="AL1329" s="32">
        <v>2011</v>
      </c>
      <c r="AM1329" s="32" t="s">
        <v>1989</v>
      </c>
      <c r="AN1329" s="32" t="s">
        <v>1990</v>
      </c>
      <c r="AO1329" s="38" t="s">
        <v>1991</v>
      </c>
      <c r="AP1329" s="35" t="s">
        <v>396</v>
      </c>
    </row>
    <row r="1330" spans="1:42" x14ac:dyDescent="0.2">
      <c r="A1330" s="40">
        <v>136</v>
      </c>
      <c r="B1330" s="40">
        <v>1329</v>
      </c>
      <c r="C1330" s="40" t="s">
        <v>39</v>
      </c>
      <c r="D1330" s="38" t="s">
        <v>38</v>
      </c>
      <c r="E1330" s="32" t="s">
        <v>2183</v>
      </c>
      <c r="F1330" s="32" t="s">
        <v>237</v>
      </c>
      <c r="G1330" s="38" t="s">
        <v>1923</v>
      </c>
      <c r="H1330" s="32" t="s">
        <v>151</v>
      </c>
      <c r="I1330" s="32" t="s">
        <v>61</v>
      </c>
      <c r="J1330" s="32" t="s">
        <v>1982</v>
      </c>
      <c r="K1330" s="32" t="s">
        <v>1513</v>
      </c>
      <c r="L1330" s="32" t="s">
        <v>30</v>
      </c>
      <c r="M1330" s="32" t="s">
        <v>30</v>
      </c>
      <c r="N1330" s="40">
        <v>2006</v>
      </c>
      <c r="O1330" s="32">
        <f>VLOOKUP(Data!N1566, CPI!$A$2:$B$112, 2, 0)</f>
        <v>251.107</v>
      </c>
      <c r="P1330" s="32" t="s">
        <v>238</v>
      </c>
      <c r="Q1330" s="32" t="s">
        <v>239</v>
      </c>
      <c r="R1330" s="32" t="s">
        <v>1986</v>
      </c>
      <c r="S1330" s="32">
        <v>0.38</v>
      </c>
      <c r="T1330" s="32" t="s">
        <v>1322</v>
      </c>
      <c r="Z1330" s="38" t="s">
        <v>262</v>
      </c>
      <c r="AA1330" s="35" t="s">
        <v>1987</v>
      </c>
      <c r="AB1330" s="32" t="s">
        <v>30</v>
      </c>
      <c r="AH1330" s="32" t="s">
        <v>397</v>
      </c>
      <c r="AI1330" s="32" t="s">
        <v>2734</v>
      </c>
      <c r="AK1330" s="40" t="s">
        <v>1988</v>
      </c>
      <c r="AL1330" s="32">
        <v>2011</v>
      </c>
      <c r="AM1330" s="32" t="s">
        <v>1989</v>
      </c>
      <c r="AN1330" s="32" t="s">
        <v>1990</v>
      </c>
      <c r="AO1330" s="38" t="s">
        <v>1991</v>
      </c>
      <c r="AP1330" s="35" t="s">
        <v>396</v>
      </c>
    </row>
    <row r="1331" spans="1:42" x14ac:dyDescent="0.2">
      <c r="A1331" s="40">
        <v>136</v>
      </c>
      <c r="B1331" s="40">
        <v>1330</v>
      </c>
      <c r="C1331" s="40" t="s">
        <v>39</v>
      </c>
      <c r="D1331" s="38" t="s">
        <v>38</v>
      </c>
      <c r="E1331" s="32" t="s">
        <v>2183</v>
      </c>
      <c r="F1331" s="32" t="s">
        <v>237</v>
      </c>
      <c r="G1331" s="38" t="s">
        <v>1923</v>
      </c>
      <c r="H1331" s="32" t="s">
        <v>151</v>
      </c>
      <c r="I1331" s="32" t="s">
        <v>61</v>
      </c>
      <c r="J1331" s="32" t="s">
        <v>1982</v>
      </c>
      <c r="K1331" s="32" t="s">
        <v>1513</v>
      </c>
      <c r="L1331" s="32" t="s">
        <v>30</v>
      </c>
      <c r="M1331" s="32" t="s">
        <v>30</v>
      </c>
      <c r="N1331" s="40">
        <v>2007</v>
      </c>
      <c r="O1331" s="32">
        <f>VLOOKUP(Data!N1567, CPI!$A$2:$B$112, 2, 0)</f>
        <v>172.2</v>
      </c>
      <c r="P1331" s="32" t="s">
        <v>238</v>
      </c>
      <c r="Q1331" s="32" t="s">
        <v>239</v>
      </c>
      <c r="R1331" s="32" t="s">
        <v>1986</v>
      </c>
      <c r="S1331" s="32">
        <v>0.75</v>
      </c>
      <c r="T1331" s="32" t="s">
        <v>1322</v>
      </c>
      <c r="Z1331" s="38" t="s">
        <v>262</v>
      </c>
      <c r="AA1331" s="35" t="s">
        <v>1987</v>
      </c>
      <c r="AB1331" s="32" t="s">
        <v>30</v>
      </c>
      <c r="AH1331" s="32" t="s">
        <v>397</v>
      </c>
      <c r="AI1331" s="32" t="s">
        <v>2734</v>
      </c>
      <c r="AK1331" s="40" t="s">
        <v>1988</v>
      </c>
      <c r="AL1331" s="32">
        <v>2011</v>
      </c>
      <c r="AM1331" s="32" t="s">
        <v>1989</v>
      </c>
      <c r="AN1331" s="32" t="s">
        <v>1990</v>
      </c>
      <c r="AO1331" s="38" t="s">
        <v>1991</v>
      </c>
      <c r="AP1331" s="35" t="s">
        <v>396</v>
      </c>
    </row>
    <row r="1332" spans="1:42" x14ac:dyDescent="0.2">
      <c r="A1332" s="40">
        <v>137</v>
      </c>
      <c r="B1332" s="40">
        <v>1331</v>
      </c>
      <c r="C1332" s="40" t="s">
        <v>119</v>
      </c>
      <c r="D1332" s="38" t="s">
        <v>128</v>
      </c>
      <c r="E1332" s="32" t="s">
        <v>2186</v>
      </c>
      <c r="F1332" s="32" t="s">
        <v>21</v>
      </c>
      <c r="G1332" s="38" t="s">
        <v>163</v>
      </c>
      <c r="H1332" s="32" t="s">
        <v>242</v>
      </c>
      <c r="I1332" s="32" t="s">
        <v>243</v>
      </c>
      <c r="J1332" s="32" t="s">
        <v>1992</v>
      </c>
      <c r="K1332" s="32" t="s">
        <v>1513</v>
      </c>
      <c r="L1332" s="32" t="s">
        <v>30</v>
      </c>
      <c r="M1332" s="32" t="s">
        <v>30</v>
      </c>
      <c r="N1332" s="40">
        <v>2006</v>
      </c>
      <c r="O1332" s="32">
        <f>VLOOKUP(Data!N1208, CPI!$A$2:$B$112, 2, 0)</f>
        <v>218.05600000000001</v>
      </c>
      <c r="P1332" s="32" t="s">
        <v>238</v>
      </c>
      <c r="Q1332" s="32" t="s">
        <v>239</v>
      </c>
      <c r="R1332" s="32" t="s">
        <v>2754</v>
      </c>
      <c r="S1332" s="32">
        <v>6837000</v>
      </c>
      <c r="T1332" s="32" t="s">
        <v>1385</v>
      </c>
      <c r="U1332" s="32">
        <f t="shared" ref="U1332:U1350" si="85">S1332/AB1332</f>
        <v>1085238.0952380954</v>
      </c>
      <c r="V1332" s="32" t="s">
        <v>1487</v>
      </c>
      <c r="W1332" s="32">
        <f>VLOOKUP(N1332, 'Exchange rate- Vietnam'!$A$2:$B$65, 2, 0)</f>
        <v>15994.25</v>
      </c>
      <c r="X1332" s="32">
        <f t="shared" ref="X1332:X1349" si="86">U1332/W1332</f>
        <v>67.851765180492706</v>
      </c>
      <c r="Y1332" s="32">
        <f>(CPI!$B$112/O1332)*X1332</f>
        <v>94.805257809717148</v>
      </c>
      <c r="Z1332" s="38" t="s">
        <v>1609</v>
      </c>
      <c r="AA1332" s="35" t="s">
        <v>1447</v>
      </c>
      <c r="AB1332" s="40">
        <v>6.3</v>
      </c>
      <c r="AC1332" s="40" t="s">
        <v>1412</v>
      </c>
      <c r="AH1332" s="32" t="s">
        <v>411</v>
      </c>
      <c r="AI1332" s="32" t="s">
        <v>2762</v>
      </c>
      <c r="AJ1332" s="35" t="s">
        <v>2278</v>
      </c>
      <c r="AK1332" s="40" t="s">
        <v>1993</v>
      </c>
      <c r="AL1332" s="32">
        <v>2008</v>
      </c>
      <c r="AM1332" s="32" t="s">
        <v>1994</v>
      </c>
      <c r="AN1332" s="32" t="s">
        <v>1995</v>
      </c>
      <c r="AO1332" s="38" t="s">
        <v>1996</v>
      </c>
      <c r="AP1332" s="35" t="s">
        <v>396</v>
      </c>
    </row>
    <row r="1333" spans="1:42" x14ac:dyDescent="0.2">
      <c r="A1333" s="40">
        <v>137</v>
      </c>
      <c r="B1333" s="40">
        <v>1332</v>
      </c>
      <c r="C1333" s="40" t="s">
        <v>119</v>
      </c>
      <c r="D1333" s="38" t="s">
        <v>128</v>
      </c>
      <c r="E1333" s="32" t="s">
        <v>2186</v>
      </c>
      <c r="F1333" s="32" t="s">
        <v>21</v>
      </c>
      <c r="G1333" s="38" t="s">
        <v>163</v>
      </c>
      <c r="H1333" s="32" t="s">
        <v>242</v>
      </c>
      <c r="I1333" s="32" t="s">
        <v>243</v>
      </c>
      <c r="J1333" s="32" t="s">
        <v>1992</v>
      </c>
      <c r="K1333" s="32" t="s">
        <v>1513</v>
      </c>
      <c r="L1333" s="32" t="s">
        <v>30</v>
      </c>
      <c r="M1333" s="32" t="s">
        <v>30</v>
      </c>
      <c r="N1333" s="40">
        <v>2006</v>
      </c>
      <c r="O1333" s="32">
        <f>VLOOKUP(Data!N1209, CPI!$A$2:$B$112, 2, 0)</f>
        <v>218.05600000000001</v>
      </c>
      <c r="P1333" s="32" t="s">
        <v>238</v>
      </c>
      <c r="Q1333" s="32" t="s">
        <v>239</v>
      </c>
      <c r="R1333" s="32" t="s">
        <v>2761</v>
      </c>
      <c r="S1333" s="32">
        <v>2849000</v>
      </c>
      <c r="T1333" s="32" t="s">
        <v>1385</v>
      </c>
      <c r="U1333" s="32">
        <f t="shared" si="85"/>
        <v>547884.61538461538</v>
      </c>
      <c r="V1333" s="32" t="s">
        <v>1487</v>
      </c>
      <c r="W1333" s="32">
        <f>VLOOKUP(N1333, 'Exchange rate- Vietnam'!$A$2:$B$65, 2, 0)</f>
        <v>15994.25</v>
      </c>
      <c r="X1333" s="32">
        <f t="shared" si="86"/>
        <v>34.25509888770123</v>
      </c>
      <c r="Y1333" s="32">
        <f>(CPI!$B$112/O1333)*X1333</f>
        <v>47.862623362959177</v>
      </c>
      <c r="Z1333" s="38" t="s">
        <v>1609</v>
      </c>
      <c r="AA1333" s="35" t="s">
        <v>1447</v>
      </c>
      <c r="AB1333" s="40">
        <v>5.2</v>
      </c>
      <c r="AC1333" s="40" t="s">
        <v>1412</v>
      </c>
      <c r="AH1333" s="32" t="s">
        <v>411</v>
      </c>
      <c r="AI1333" s="32" t="s">
        <v>2762</v>
      </c>
      <c r="AJ1333" s="35" t="s">
        <v>2278</v>
      </c>
      <c r="AK1333" s="40" t="s">
        <v>1993</v>
      </c>
      <c r="AL1333" s="32">
        <v>2008</v>
      </c>
      <c r="AM1333" s="32" t="s">
        <v>1994</v>
      </c>
      <c r="AN1333" s="32" t="s">
        <v>1995</v>
      </c>
      <c r="AO1333" s="38" t="s">
        <v>1996</v>
      </c>
      <c r="AP1333" s="35" t="s">
        <v>396</v>
      </c>
    </row>
    <row r="1334" spans="1:42" x14ac:dyDescent="0.2">
      <c r="A1334" s="40">
        <v>137</v>
      </c>
      <c r="B1334" s="40">
        <v>1333</v>
      </c>
      <c r="C1334" s="40" t="s">
        <v>119</v>
      </c>
      <c r="D1334" s="38" t="s">
        <v>128</v>
      </c>
      <c r="E1334" s="32" t="s">
        <v>2186</v>
      </c>
      <c r="F1334" s="32" t="s">
        <v>21</v>
      </c>
      <c r="G1334" s="38" t="s">
        <v>163</v>
      </c>
      <c r="H1334" s="32" t="s">
        <v>242</v>
      </c>
      <c r="I1334" s="32" t="s">
        <v>243</v>
      </c>
      <c r="J1334" s="32" t="s">
        <v>1992</v>
      </c>
      <c r="K1334" s="32" t="s">
        <v>1513</v>
      </c>
      <c r="L1334" s="32" t="s">
        <v>30</v>
      </c>
      <c r="M1334" s="32" t="s">
        <v>30</v>
      </c>
      <c r="N1334" s="40">
        <v>2006</v>
      </c>
      <c r="O1334" s="32">
        <f>VLOOKUP(Data!N1210, CPI!$A$2:$B$112, 2, 0)</f>
        <v>218.05600000000001</v>
      </c>
      <c r="P1334" s="32" t="s">
        <v>238</v>
      </c>
      <c r="Q1334" s="32" t="s">
        <v>239</v>
      </c>
      <c r="R1334" s="32" t="s">
        <v>2755</v>
      </c>
      <c r="S1334" s="32">
        <v>1134000</v>
      </c>
      <c r="T1334" s="32" t="s">
        <v>1385</v>
      </c>
      <c r="U1334" s="32">
        <f t="shared" si="85"/>
        <v>210000</v>
      </c>
      <c r="V1334" s="32" t="s">
        <v>1487</v>
      </c>
      <c r="W1334" s="32">
        <f>VLOOKUP(N1334, 'Exchange rate- Vietnam'!$A$2:$B$65, 2, 0)</f>
        <v>15994.25</v>
      </c>
      <c r="X1334" s="32">
        <f t="shared" si="86"/>
        <v>13.129718492583272</v>
      </c>
      <c r="Y1334" s="32">
        <f>(CPI!$B$112/O1334)*X1334</f>
        <v>18.345378979414328</v>
      </c>
      <c r="Z1334" s="38" t="s">
        <v>1609</v>
      </c>
      <c r="AA1334" s="35" t="s">
        <v>1447</v>
      </c>
      <c r="AB1334" s="40">
        <v>5.4</v>
      </c>
      <c r="AC1334" s="40" t="s">
        <v>1412</v>
      </c>
      <c r="AH1334" s="32" t="s">
        <v>411</v>
      </c>
      <c r="AI1334" s="32" t="s">
        <v>2762</v>
      </c>
      <c r="AJ1334" s="35" t="s">
        <v>2278</v>
      </c>
      <c r="AK1334" s="40" t="s">
        <v>1993</v>
      </c>
      <c r="AL1334" s="32">
        <v>2008</v>
      </c>
      <c r="AM1334" s="32" t="s">
        <v>1994</v>
      </c>
      <c r="AN1334" s="32" t="s">
        <v>1995</v>
      </c>
      <c r="AO1334" s="38" t="s">
        <v>1996</v>
      </c>
      <c r="AP1334" s="35" t="s">
        <v>396</v>
      </c>
    </row>
    <row r="1335" spans="1:42" x14ac:dyDescent="0.2">
      <c r="A1335" s="40">
        <v>137</v>
      </c>
      <c r="B1335" s="40">
        <v>1334</v>
      </c>
      <c r="C1335" s="40" t="s">
        <v>119</v>
      </c>
      <c r="D1335" s="38" t="s">
        <v>128</v>
      </c>
      <c r="E1335" s="32" t="s">
        <v>2186</v>
      </c>
      <c r="F1335" s="32" t="s">
        <v>21</v>
      </c>
      <c r="G1335" s="38" t="s">
        <v>163</v>
      </c>
      <c r="H1335" s="32" t="s">
        <v>242</v>
      </c>
      <c r="I1335" s="32" t="s">
        <v>243</v>
      </c>
      <c r="J1335" s="32" t="s">
        <v>1992</v>
      </c>
      <c r="K1335" s="32" t="s">
        <v>1513</v>
      </c>
      <c r="L1335" s="32" t="s">
        <v>30</v>
      </c>
      <c r="M1335" s="32" t="s">
        <v>30</v>
      </c>
      <c r="N1335" s="40">
        <v>2006</v>
      </c>
      <c r="O1335" s="32">
        <f>VLOOKUP(Data!N1211, CPI!$A$2:$B$112, 2, 0)</f>
        <v>218.05600000000001</v>
      </c>
      <c r="P1335" s="32" t="s">
        <v>238</v>
      </c>
      <c r="Q1335" s="32" t="s">
        <v>239</v>
      </c>
      <c r="R1335" s="32" t="s">
        <v>2756</v>
      </c>
      <c r="S1335" s="32">
        <v>463000</v>
      </c>
      <c r="T1335" s="32" t="s">
        <v>1385</v>
      </c>
      <c r="U1335" s="32">
        <f t="shared" si="85"/>
        <v>136176.4705882353</v>
      </c>
      <c r="V1335" s="32" t="s">
        <v>1487</v>
      </c>
      <c r="W1335" s="32">
        <f>VLOOKUP(N1335, 'Exchange rate- Vietnam'!$A$2:$B$65, 2, 0)</f>
        <v>15994.25</v>
      </c>
      <c r="X1335" s="32">
        <f t="shared" si="86"/>
        <v>8.5140891625575001</v>
      </c>
      <c r="Y1335" s="32">
        <f>(CPI!$B$112/O1335)*X1335</f>
        <v>11.896233147715455</v>
      </c>
      <c r="Z1335" s="38" t="s">
        <v>1609</v>
      </c>
      <c r="AA1335" s="35" t="s">
        <v>1447</v>
      </c>
      <c r="AB1335" s="40">
        <v>3.4</v>
      </c>
      <c r="AC1335" s="40" t="s">
        <v>1412</v>
      </c>
      <c r="AH1335" s="32" t="s">
        <v>411</v>
      </c>
      <c r="AI1335" s="32" t="s">
        <v>2762</v>
      </c>
      <c r="AJ1335" s="35" t="s">
        <v>2278</v>
      </c>
      <c r="AK1335" s="40" t="s">
        <v>1993</v>
      </c>
      <c r="AL1335" s="32">
        <v>2008</v>
      </c>
      <c r="AM1335" s="32" t="s">
        <v>1994</v>
      </c>
      <c r="AN1335" s="32" t="s">
        <v>1995</v>
      </c>
      <c r="AO1335" s="38" t="s">
        <v>1996</v>
      </c>
      <c r="AP1335" s="35" t="s">
        <v>396</v>
      </c>
    </row>
    <row r="1336" spans="1:42" x14ac:dyDescent="0.2">
      <c r="A1336" s="40">
        <v>137</v>
      </c>
      <c r="B1336" s="40">
        <v>1335</v>
      </c>
      <c r="C1336" s="40" t="s">
        <v>119</v>
      </c>
      <c r="D1336" s="38" t="s">
        <v>128</v>
      </c>
      <c r="E1336" s="32" t="s">
        <v>2183</v>
      </c>
      <c r="F1336" s="32" t="s">
        <v>237</v>
      </c>
      <c r="G1336" s="38" t="s">
        <v>1923</v>
      </c>
      <c r="H1336" s="32" t="s">
        <v>242</v>
      </c>
      <c r="I1336" s="32" t="s">
        <v>243</v>
      </c>
      <c r="J1336" s="32" t="s">
        <v>1992</v>
      </c>
      <c r="K1336" s="32" t="s">
        <v>1513</v>
      </c>
      <c r="L1336" s="32" t="s">
        <v>30</v>
      </c>
      <c r="M1336" s="32" t="s">
        <v>30</v>
      </c>
      <c r="N1336" s="40">
        <v>2006</v>
      </c>
      <c r="O1336" s="32">
        <f>VLOOKUP(Data!N1212, CPI!$A$2:$B$112, 2, 0)</f>
        <v>218.05600000000001</v>
      </c>
      <c r="P1336" s="32" t="s">
        <v>238</v>
      </c>
      <c r="Q1336" s="32" t="s">
        <v>239</v>
      </c>
      <c r="R1336" s="32" t="s">
        <v>2742</v>
      </c>
      <c r="S1336" s="32">
        <v>4638000</v>
      </c>
      <c r="T1336" s="32" t="s">
        <v>1385</v>
      </c>
      <c r="U1336" s="32">
        <f t="shared" si="85"/>
        <v>2441052.6315789474</v>
      </c>
      <c r="V1336" s="32" t="s">
        <v>1487</v>
      </c>
      <c r="W1336" s="32">
        <f>VLOOKUP(N1336, 'Exchange rate- Vietnam'!$A$2:$B$65, 2, 0)</f>
        <v>15994.25</v>
      </c>
      <c r="X1336" s="32">
        <f t="shared" si="86"/>
        <v>152.62063751529126</v>
      </c>
      <c r="Y1336" s="32">
        <f>(CPI!$B$112/O1336)*X1336</f>
        <v>213.24778873815453</v>
      </c>
      <c r="Z1336" s="38" t="s">
        <v>1609</v>
      </c>
      <c r="AA1336" s="35" t="s">
        <v>1447</v>
      </c>
      <c r="AB1336" s="32">
        <v>1.9</v>
      </c>
      <c r="AC1336" s="40" t="s">
        <v>1412</v>
      </c>
      <c r="AH1336" s="32" t="s">
        <v>411</v>
      </c>
      <c r="AJ1336" s="35" t="s">
        <v>2278</v>
      </c>
      <c r="AK1336" s="40" t="s">
        <v>1993</v>
      </c>
      <c r="AL1336" s="32">
        <v>2008</v>
      </c>
      <c r="AM1336" s="32" t="s">
        <v>1994</v>
      </c>
      <c r="AN1336" s="32" t="s">
        <v>1995</v>
      </c>
      <c r="AO1336" s="38" t="s">
        <v>1996</v>
      </c>
      <c r="AP1336" s="35" t="s">
        <v>396</v>
      </c>
    </row>
    <row r="1337" spans="1:42" x14ac:dyDescent="0.2">
      <c r="A1337" s="40">
        <v>137</v>
      </c>
      <c r="B1337" s="40">
        <v>1336</v>
      </c>
      <c r="C1337" s="40" t="s">
        <v>119</v>
      </c>
      <c r="D1337" s="38" t="s">
        <v>128</v>
      </c>
      <c r="E1337" s="32" t="s">
        <v>2183</v>
      </c>
      <c r="F1337" s="32" t="s">
        <v>237</v>
      </c>
      <c r="G1337" s="38" t="s">
        <v>1923</v>
      </c>
      <c r="H1337" s="32" t="s">
        <v>242</v>
      </c>
      <c r="I1337" s="32" t="s">
        <v>243</v>
      </c>
      <c r="J1337" s="32" t="s">
        <v>1992</v>
      </c>
      <c r="K1337" s="32" t="s">
        <v>1513</v>
      </c>
      <c r="L1337" s="32" t="s">
        <v>30</v>
      </c>
      <c r="M1337" s="32" t="s">
        <v>30</v>
      </c>
      <c r="N1337" s="40">
        <v>2006</v>
      </c>
      <c r="O1337" s="32">
        <f>VLOOKUP(Data!N1213, CPI!$A$2:$B$112, 2, 0)</f>
        <v>218.05600000000001</v>
      </c>
      <c r="P1337" s="32" t="s">
        <v>238</v>
      </c>
      <c r="Q1337" s="32" t="s">
        <v>239</v>
      </c>
      <c r="R1337" s="32" t="s">
        <v>2743</v>
      </c>
      <c r="S1337" s="32">
        <v>4132000</v>
      </c>
      <c r="T1337" s="32" t="s">
        <v>1385</v>
      </c>
      <c r="U1337" s="32">
        <f t="shared" si="85"/>
        <v>2295555.5555555555</v>
      </c>
      <c r="V1337" s="32" t="s">
        <v>1487</v>
      </c>
      <c r="W1337" s="32">
        <f>VLOOKUP(N1337, 'Exchange rate- Vietnam'!$A$2:$B$65, 2, 0)</f>
        <v>15994.25</v>
      </c>
      <c r="X1337" s="32">
        <f t="shared" si="86"/>
        <v>143.52380108823832</v>
      </c>
      <c r="Y1337" s="32">
        <f>(CPI!$B$112/O1337)*X1337</f>
        <v>200.53731730936511</v>
      </c>
      <c r="Z1337" s="38" t="s">
        <v>1609</v>
      </c>
      <c r="AA1337" s="35" t="s">
        <v>1447</v>
      </c>
      <c r="AB1337" s="32">
        <v>1.8</v>
      </c>
      <c r="AC1337" s="40" t="s">
        <v>1412</v>
      </c>
      <c r="AH1337" s="32" t="s">
        <v>411</v>
      </c>
      <c r="AJ1337" s="35" t="s">
        <v>2278</v>
      </c>
      <c r="AK1337" s="40" t="s">
        <v>1993</v>
      </c>
      <c r="AL1337" s="32">
        <v>2008</v>
      </c>
      <c r="AM1337" s="32" t="s">
        <v>1994</v>
      </c>
      <c r="AN1337" s="32" t="s">
        <v>1995</v>
      </c>
      <c r="AO1337" s="38" t="s">
        <v>1996</v>
      </c>
      <c r="AP1337" s="35" t="s">
        <v>396</v>
      </c>
    </row>
    <row r="1338" spans="1:42" x14ac:dyDescent="0.2">
      <c r="A1338" s="40">
        <v>137</v>
      </c>
      <c r="B1338" s="40">
        <v>1337</v>
      </c>
      <c r="C1338" s="40" t="s">
        <v>119</v>
      </c>
      <c r="D1338" s="38" t="s">
        <v>128</v>
      </c>
      <c r="E1338" s="32" t="s">
        <v>2183</v>
      </c>
      <c r="F1338" s="32" t="s">
        <v>237</v>
      </c>
      <c r="G1338" s="38" t="s">
        <v>1923</v>
      </c>
      <c r="H1338" s="32" t="s">
        <v>242</v>
      </c>
      <c r="I1338" s="32" t="s">
        <v>243</v>
      </c>
      <c r="J1338" s="32" t="s">
        <v>1992</v>
      </c>
      <c r="K1338" s="32" t="s">
        <v>1513</v>
      </c>
      <c r="L1338" s="32" t="s">
        <v>30</v>
      </c>
      <c r="M1338" s="32" t="s">
        <v>30</v>
      </c>
      <c r="N1338" s="40">
        <v>2006</v>
      </c>
      <c r="O1338" s="32">
        <f>VLOOKUP(Data!N1214, CPI!$A$2:$B$112, 2, 0)</f>
        <v>218.05600000000001</v>
      </c>
      <c r="P1338" s="32" t="s">
        <v>238</v>
      </c>
      <c r="Q1338" s="32" t="s">
        <v>239</v>
      </c>
      <c r="R1338" s="32" t="s">
        <v>2744</v>
      </c>
      <c r="S1338" s="32">
        <v>4358000</v>
      </c>
      <c r="T1338" s="32" t="s">
        <v>1385</v>
      </c>
      <c r="U1338" s="32">
        <f t="shared" si="85"/>
        <v>2421111.111111111</v>
      </c>
      <c r="V1338" s="32" t="s">
        <v>1487</v>
      </c>
      <c r="W1338" s="32">
        <f>VLOOKUP(N1338, 'Exchange rate- Vietnam'!$A$2:$B$65, 2, 0)</f>
        <v>15994.25</v>
      </c>
      <c r="X1338" s="32">
        <f t="shared" si="86"/>
        <v>151.37384441978278</v>
      </c>
      <c r="Y1338" s="32">
        <f>(CPI!$B$112/O1338)*X1338</f>
        <v>211.50571849811541</v>
      </c>
      <c r="Z1338" s="38" t="s">
        <v>1609</v>
      </c>
      <c r="AA1338" s="35" t="s">
        <v>1447</v>
      </c>
      <c r="AB1338" s="32">
        <v>1.8</v>
      </c>
      <c r="AC1338" s="40" t="s">
        <v>1412</v>
      </c>
      <c r="AH1338" s="32" t="s">
        <v>411</v>
      </c>
      <c r="AJ1338" s="35" t="s">
        <v>2278</v>
      </c>
      <c r="AK1338" s="40" t="s">
        <v>1993</v>
      </c>
      <c r="AL1338" s="32">
        <v>2008</v>
      </c>
      <c r="AM1338" s="32" t="s">
        <v>1994</v>
      </c>
      <c r="AN1338" s="32" t="s">
        <v>1995</v>
      </c>
      <c r="AO1338" s="38" t="s">
        <v>1996</v>
      </c>
      <c r="AP1338" s="35" t="s">
        <v>396</v>
      </c>
    </row>
    <row r="1339" spans="1:42" x14ac:dyDescent="0.2">
      <c r="A1339" s="40">
        <v>137</v>
      </c>
      <c r="B1339" s="40">
        <v>1338</v>
      </c>
      <c r="C1339" s="40" t="s">
        <v>119</v>
      </c>
      <c r="D1339" s="38" t="s">
        <v>128</v>
      </c>
      <c r="E1339" s="32" t="s">
        <v>2183</v>
      </c>
      <c r="F1339" s="32" t="s">
        <v>237</v>
      </c>
      <c r="G1339" s="38" t="s">
        <v>1923</v>
      </c>
      <c r="H1339" s="32" t="s">
        <v>242</v>
      </c>
      <c r="I1339" s="32" t="s">
        <v>243</v>
      </c>
      <c r="J1339" s="32" t="s">
        <v>1992</v>
      </c>
      <c r="K1339" s="32" t="s">
        <v>1513</v>
      </c>
      <c r="L1339" s="32" t="s">
        <v>30</v>
      </c>
      <c r="M1339" s="32" t="s">
        <v>30</v>
      </c>
      <c r="N1339" s="40">
        <v>2006</v>
      </c>
      <c r="O1339" s="32">
        <f>VLOOKUP(Data!N1215, CPI!$A$2:$B$112, 2, 0)</f>
        <v>218.05600000000001</v>
      </c>
      <c r="P1339" s="32" t="s">
        <v>238</v>
      </c>
      <c r="Q1339" s="32" t="s">
        <v>239</v>
      </c>
      <c r="R1339" s="32" t="s">
        <v>2745</v>
      </c>
      <c r="S1339" s="32">
        <v>2874000</v>
      </c>
      <c r="T1339" s="32" t="s">
        <v>1385</v>
      </c>
      <c r="U1339" s="32">
        <f t="shared" si="85"/>
        <v>2210769.2307692305</v>
      </c>
      <c r="V1339" s="32" t="s">
        <v>1487</v>
      </c>
      <c r="W1339" s="32">
        <f>VLOOKUP(N1339, 'Exchange rate- Vietnam'!$A$2:$B$65, 2, 0)</f>
        <v>15994.25</v>
      </c>
      <c r="X1339" s="32">
        <f t="shared" si="86"/>
        <v>138.22275072411838</v>
      </c>
      <c r="Y1339" s="32">
        <f>(CPI!$B$112/O1339)*X1339</f>
        <v>193.1304732118563</v>
      </c>
      <c r="Z1339" s="38" t="s">
        <v>1609</v>
      </c>
      <c r="AA1339" s="35" t="s">
        <v>1447</v>
      </c>
      <c r="AB1339" s="32">
        <v>1.3</v>
      </c>
      <c r="AC1339" s="40" t="s">
        <v>1412</v>
      </c>
      <c r="AH1339" s="32" t="s">
        <v>411</v>
      </c>
      <c r="AJ1339" s="35" t="s">
        <v>2278</v>
      </c>
      <c r="AK1339" s="40" t="s">
        <v>1993</v>
      </c>
      <c r="AL1339" s="32">
        <v>2008</v>
      </c>
      <c r="AM1339" s="32" t="s">
        <v>1994</v>
      </c>
      <c r="AN1339" s="32" t="s">
        <v>1995</v>
      </c>
      <c r="AO1339" s="38" t="s">
        <v>1996</v>
      </c>
      <c r="AP1339" s="35" t="s">
        <v>396</v>
      </c>
    </row>
    <row r="1340" spans="1:42" x14ac:dyDescent="0.2">
      <c r="A1340" s="40">
        <v>137</v>
      </c>
      <c r="B1340" s="40">
        <v>1339</v>
      </c>
      <c r="C1340" s="40" t="s">
        <v>119</v>
      </c>
      <c r="D1340" s="38" t="s">
        <v>128</v>
      </c>
      <c r="E1340" s="32" t="s">
        <v>2183</v>
      </c>
      <c r="F1340" s="32" t="s">
        <v>126</v>
      </c>
      <c r="G1340" s="38" t="s">
        <v>152</v>
      </c>
      <c r="H1340" s="32" t="s">
        <v>242</v>
      </c>
      <c r="I1340" s="32" t="s">
        <v>243</v>
      </c>
      <c r="J1340" s="32" t="s">
        <v>1992</v>
      </c>
      <c r="K1340" s="32" t="s">
        <v>1513</v>
      </c>
      <c r="L1340" s="32" t="s">
        <v>30</v>
      </c>
      <c r="M1340" s="32" t="s">
        <v>30</v>
      </c>
      <c r="N1340" s="40">
        <v>2006</v>
      </c>
      <c r="O1340" s="32">
        <f>VLOOKUP(Data!N1216, CPI!$A$2:$B$112, 2, 0)</f>
        <v>218.05600000000001</v>
      </c>
      <c r="P1340" s="32" t="s">
        <v>238</v>
      </c>
      <c r="Q1340" s="32" t="s">
        <v>239</v>
      </c>
      <c r="R1340" s="32" t="s">
        <v>2746</v>
      </c>
      <c r="S1340" s="32">
        <v>1884000</v>
      </c>
      <c r="T1340" s="32" t="s">
        <v>1385</v>
      </c>
      <c r="U1340" s="32">
        <f t="shared" si="85"/>
        <v>299047.61904761905</v>
      </c>
      <c r="V1340" s="32" t="s">
        <v>1487</v>
      </c>
      <c r="W1340" s="32">
        <f>VLOOKUP(N1340, 'Exchange rate- Vietnam'!$A$2:$B$65, 2, 0)</f>
        <v>15994.25</v>
      </c>
      <c r="X1340" s="32">
        <f t="shared" si="86"/>
        <v>18.697195495107245</v>
      </c>
      <c r="Y1340" s="32">
        <f>(CPI!$B$112/O1340)*X1340</f>
        <v>26.124485258667114</v>
      </c>
      <c r="Z1340" s="38" t="s">
        <v>1609</v>
      </c>
      <c r="AA1340" s="35" t="s">
        <v>1447</v>
      </c>
      <c r="AB1340" s="32">
        <v>6.3</v>
      </c>
      <c r="AC1340" s="40" t="s">
        <v>1412</v>
      </c>
      <c r="AH1340" s="32" t="s">
        <v>411</v>
      </c>
      <c r="AJ1340" s="35" t="s">
        <v>2278</v>
      </c>
      <c r="AK1340" s="40" t="s">
        <v>1993</v>
      </c>
      <c r="AL1340" s="32">
        <v>2008</v>
      </c>
      <c r="AM1340" s="32" t="s">
        <v>1994</v>
      </c>
      <c r="AN1340" s="32" t="s">
        <v>1995</v>
      </c>
      <c r="AO1340" s="38" t="s">
        <v>1996</v>
      </c>
      <c r="AP1340" s="35" t="s">
        <v>396</v>
      </c>
    </row>
    <row r="1341" spans="1:42" x14ac:dyDescent="0.2">
      <c r="A1341" s="40">
        <v>137</v>
      </c>
      <c r="B1341" s="40">
        <v>1340</v>
      </c>
      <c r="C1341" s="40" t="s">
        <v>119</v>
      </c>
      <c r="D1341" s="38" t="s">
        <v>128</v>
      </c>
      <c r="E1341" s="32" t="s">
        <v>2183</v>
      </c>
      <c r="F1341" s="32" t="s">
        <v>126</v>
      </c>
      <c r="G1341" s="38" t="s">
        <v>152</v>
      </c>
      <c r="H1341" s="32" t="s">
        <v>242</v>
      </c>
      <c r="I1341" s="32" t="s">
        <v>243</v>
      </c>
      <c r="J1341" s="32" t="s">
        <v>1992</v>
      </c>
      <c r="K1341" s="32" t="s">
        <v>1513</v>
      </c>
      <c r="L1341" s="32" t="s">
        <v>30</v>
      </c>
      <c r="M1341" s="32" t="s">
        <v>30</v>
      </c>
      <c r="N1341" s="40">
        <v>2006</v>
      </c>
      <c r="O1341" s="32">
        <f>VLOOKUP(Data!N1217, CPI!$A$2:$B$112, 2, 0)</f>
        <v>218.05600000000001</v>
      </c>
      <c r="P1341" s="32" t="s">
        <v>238</v>
      </c>
      <c r="Q1341" s="32" t="s">
        <v>239</v>
      </c>
      <c r="R1341" s="32" t="s">
        <v>2747</v>
      </c>
      <c r="S1341" s="32">
        <v>405000</v>
      </c>
      <c r="T1341" s="32" t="s">
        <v>1385</v>
      </c>
      <c r="U1341" s="32">
        <f t="shared" si="85"/>
        <v>77884.615384615376</v>
      </c>
      <c r="V1341" s="32" t="s">
        <v>1487</v>
      </c>
      <c r="W1341" s="32">
        <f>VLOOKUP(N1341, 'Exchange rate- Vietnam'!$A$2:$B$65, 2, 0)</f>
        <v>15994.25</v>
      </c>
      <c r="X1341" s="32">
        <f t="shared" si="86"/>
        <v>4.8695384519196194</v>
      </c>
      <c r="Y1341" s="32">
        <f>(CPI!$B$112/O1341)*X1341</f>
        <v>6.8039180280794884</v>
      </c>
      <c r="Z1341" s="38" t="s">
        <v>1609</v>
      </c>
      <c r="AA1341" s="35" t="s">
        <v>1447</v>
      </c>
      <c r="AB1341" s="32">
        <v>5.2</v>
      </c>
      <c r="AC1341" s="40" t="s">
        <v>1412</v>
      </c>
      <c r="AH1341" s="32" t="s">
        <v>411</v>
      </c>
      <c r="AJ1341" s="35" t="s">
        <v>2278</v>
      </c>
      <c r="AK1341" s="40" t="s">
        <v>1993</v>
      </c>
      <c r="AL1341" s="32">
        <v>2008</v>
      </c>
      <c r="AM1341" s="32" t="s">
        <v>1994</v>
      </c>
      <c r="AN1341" s="32" t="s">
        <v>1995</v>
      </c>
      <c r="AO1341" s="38" t="s">
        <v>1996</v>
      </c>
      <c r="AP1341" s="35" t="s">
        <v>396</v>
      </c>
    </row>
    <row r="1342" spans="1:42" x14ac:dyDescent="0.2">
      <c r="A1342" s="40">
        <v>137</v>
      </c>
      <c r="B1342" s="40">
        <v>1341</v>
      </c>
      <c r="C1342" s="40" t="s">
        <v>119</v>
      </c>
      <c r="D1342" s="38" t="s">
        <v>128</v>
      </c>
      <c r="E1342" s="32" t="s">
        <v>2183</v>
      </c>
      <c r="F1342" s="32" t="s">
        <v>126</v>
      </c>
      <c r="G1342" s="38" t="s">
        <v>152</v>
      </c>
      <c r="H1342" s="32" t="s">
        <v>242</v>
      </c>
      <c r="I1342" s="32" t="s">
        <v>243</v>
      </c>
      <c r="J1342" s="32" t="s">
        <v>1992</v>
      </c>
      <c r="K1342" s="32" t="s">
        <v>1513</v>
      </c>
      <c r="L1342" s="32" t="s">
        <v>30</v>
      </c>
      <c r="M1342" s="32" t="s">
        <v>30</v>
      </c>
      <c r="N1342" s="40">
        <v>2006</v>
      </c>
      <c r="O1342" s="32">
        <f>VLOOKUP(Data!N1218, CPI!$A$2:$B$112, 2, 0)</f>
        <v>218.05600000000001</v>
      </c>
      <c r="P1342" s="32" t="s">
        <v>238</v>
      </c>
      <c r="Q1342" s="32" t="s">
        <v>239</v>
      </c>
      <c r="R1342" s="32" t="s">
        <v>2748</v>
      </c>
      <c r="S1342" s="32">
        <v>325000</v>
      </c>
      <c r="T1342" s="32" t="s">
        <v>1385</v>
      </c>
      <c r="U1342" s="32">
        <f t="shared" si="85"/>
        <v>60185.185185185182</v>
      </c>
      <c r="V1342" s="32" t="s">
        <v>1487</v>
      </c>
      <c r="W1342" s="32">
        <f>VLOOKUP(N1342, 'Exchange rate- Vietnam'!$A$2:$B$65, 2, 0)</f>
        <v>15994.25</v>
      </c>
      <c r="X1342" s="32">
        <f t="shared" si="86"/>
        <v>3.7629263757403555</v>
      </c>
      <c r="Y1342" s="32">
        <f>(CPI!$B$112/O1342)*X1342</f>
        <v>5.2577144341354991</v>
      </c>
      <c r="Z1342" s="38" t="s">
        <v>1609</v>
      </c>
      <c r="AA1342" s="35" t="s">
        <v>1447</v>
      </c>
      <c r="AB1342" s="32">
        <v>5.4</v>
      </c>
      <c r="AC1342" s="40" t="s">
        <v>1412</v>
      </c>
      <c r="AH1342" s="32" t="s">
        <v>411</v>
      </c>
      <c r="AJ1342" s="35" t="s">
        <v>2278</v>
      </c>
      <c r="AK1342" s="40" t="s">
        <v>1993</v>
      </c>
      <c r="AL1342" s="32">
        <v>2008</v>
      </c>
      <c r="AM1342" s="32" t="s">
        <v>1994</v>
      </c>
      <c r="AN1342" s="32" t="s">
        <v>1995</v>
      </c>
      <c r="AO1342" s="38" t="s">
        <v>1996</v>
      </c>
      <c r="AP1342" s="35" t="s">
        <v>396</v>
      </c>
    </row>
    <row r="1343" spans="1:42" x14ac:dyDescent="0.2">
      <c r="A1343" s="40">
        <v>137</v>
      </c>
      <c r="B1343" s="40">
        <v>1342</v>
      </c>
      <c r="C1343" s="40" t="s">
        <v>119</v>
      </c>
      <c r="D1343" s="38" t="s">
        <v>128</v>
      </c>
      <c r="E1343" s="32" t="s">
        <v>2183</v>
      </c>
      <c r="F1343" s="32" t="s">
        <v>126</v>
      </c>
      <c r="G1343" s="38" t="s">
        <v>152</v>
      </c>
      <c r="H1343" s="32" t="s">
        <v>242</v>
      </c>
      <c r="I1343" s="32" t="s">
        <v>243</v>
      </c>
      <c r="J1343" s="32" t="s">
        <v>1992</v>
      </c>
      <c r="K1343" s="32" t="s">
        <v>1513</v>
      </c>
      <c r="L1343" s="32" t="s">
        <v>30</v>
      </c>
      <c r="M1343" s="32" t="s">
        <v>30</v>
      </c>
      <c r="N1343" s="40">
        <v>2006</v>
      </c>
      <c r="O1343" s="32">
        <f>VLOOKUP(Data!N1219, CPI!$A$2:$B$112, 2, 0)</f>
        <v>218.05600000000001</v>
      </c>
      <c r="P1343" s="32" t="s">
        <v>238</v>
      </c>
      <c r="Q1343" s="32" t="s">
        <v>239</v>
      </c>
      <c r="R1343" s="32" t="s">
        <v>2749</v>
      </c>
      <c r="S1343" s="32">
        <v>145000</v>
      </c>
      <c r="T1343" s="32" t="s">
        <v>1385</v>
      </c>
      <c r="U1343" s="32">
        <f t="shared" si="85"/>
        <v>42647.058823529413</v>
      </c>
      <c r="V1343" s="32" t="s">
        <v>1487</v>
      </c>
      <c r="W1343" s="32">
        <f>VLOOKUP(N1343, 'Exchange rate- Vietnam'!$A$2:$B$65, 2, 0)</f>
        <v>15994.25</v>
      </c>
      <c r="X1343" s="32">
        <f t="shared" si="86"/>
        <v>2.6663994137599083</v>
      </c>
      <c r="Y1343" s="32">
        <f>(CPI!$B$112/O1343)*X1343</f>
        <v>3.7256021736905849</v>
      </c>
      <c r="Z1343" s="38" t="s">
        <v>1609</v>
      </c>
      <c r="AA1343" s="35" t="s">
        <v>1447</v>
      </c>
      <c r="AB1343" s="40">
        <v>3.4</v>
      </c>
      <c r="AC1343" s="40" t="s">
        <v>1412</v>
      </c>
      <c r="AH1343" s="32" t="s">
        <v>411</v>
      </c>
      <c r="AJ1343" s="35" t="s">
        <v>2278</v>
      </c>
      <c r="AK1343" s="40" t="s">
        <v>1993</v>
      </c>
      <c r="AL1343" s="32">
        <v>2008</v>
      </c>
      <c r="AM1343" s="32" t="s">
        <v>1994</v>
      </c>
      <c r="AN1343" s="32" t="s">
        <v>1995</v>
      </c>
      <c r="AO1343" s="38" t="s">
        <v>1996</v>
      </c>
      <c r="AP1343" s="35" t="s">
        <v>396</v>
      </c>
    </row>
    <row r="1344" spans="1:42" x14ac:dyDescent="0.2">
      <c r="A1344" s="40">
        <v>137</v>
      </c>
      <c r="B1344" s="40">
        <v>1343</v>
      </c>
      <c r="C1344" s="40" t="s">
        <v>119</v>
      </c>
      <c r="D1344" s="38" t="s">
        <v>128</v>
      </c>
      <c r="E1344" s="32" t="s">
        <v>2183</v>
      </c>
      <c r="F1344" s="32" t="s">
        <v>237</v>
      </c>
      <c r="G1344" s="38" t="s">
        <v>117</v>
      </c>
      <c r="H1344" s="32" t="s">
        <v>242</v>
      </c>
      <c r="I1344" s="32" t="s">
        <v>243</v>
      </c>
      <c r="J1344" s="32" t="s">
        <v>1992</v>
      </c>
      <c r="K1344" s="32" t="s">
        <v>1513</v>
      </c>
      <c r="L1344" s="32" t="s">
        <v>30</v>
      </c>
      <c r="M1344" s="32" t="s">
        <v>30</v>
      </c>
      <c r="N1344" s="40">
        <v>2006</v>
      </c>
      <c r="O1344" s="32">
        <f>VLOOKUP(Data!N1220, CPI!$A$2:$B$112, 2, 0)</f>
        <v>218.05600000000001</v>
      </c>
      <c r="P1344" s="32" t="s">
        <v>238</v>
      </c>
      <c r="Q1344" s="32" t="s">
        <v>239</v>
      </c>
      <c r="R1344" s="32" t="s">
        <v>2750</v>
      </c>
      <c r="S1344" s="32">
        <v>189000</v>
      </c>
      <c r="T1344" s="32" t="s">
        <v>1385</v>
      </c>
      <c r="U1344" s="32">
        <f t="shared" si="85"/>
        <v>30000</v>
      </c>
      <c r="V1344" s="32" t="s">
        <v>1487</v>
      </c>
      <c r="W1344" s="32">
        <f>VLOOKUP(N1344, 'Exchange rate- Vietnam'!$A$2:$B$65, 2, 0)</f>
        <v>15994.25</v>
      </c>
      <c r="X1344" s="32">
        <f t="shared" si="86"/>
        <v>1.8756740703690389</v>
      </c>
      <c r="Y1344" s="32">
        <f>(CPI!$B$112/O1344)*X1344</f>
        <v>2.6207684256306183</v>
      </c>
      <c r="Z1344" s="38" t="s">
        <v>1609</v>
      </c>
      <c r="AA1344" s="35" t="s">
        <v>1447</v>
      </c>
      <c r="AB1344" s="40">
        <v>6.3</v>
      </c>
      <c r="AC1344" s="40" t="s">
        <v>1412</v>
      </c>
      <c r="AH1344" s="32" t="s">
        <v>411</v>
      </c>
      <c r="AJ1344" s="35" t="s">
        <v>2278</v>
      </c>
      <c r="AK1344" s="40" t="s">
        <v>1993</v>
      </c>
      <c r="AL1344" s="32">
        <v>2008</v>
      </c>
      <c r="AM1344" s="32" t="s">
        <v>1994</v>
      </c>
      <c r="AN1344" s="32" t="s">
        <v>1995</v>
      </c>
      <c r="AO1344" s="38" t="s">
        <v>1996</v>
      </c>
      <c r="AP1344" s="35" t="s">
        <v>396</v>
      </c>
    </row>
    <row r="1345" spans="1:42" x14ac:dyDescent="0.2">
      <c r="A1345" s="40">
        <v>137</v>
      </c>
      <c r="B1345" s="40">
        <v>1344</v>
      </c>
      <c r="C1345" s="40" t="s">
        <v>119</v>
      </c>
      <c r="D1345" s="38" t="s">
        <v>128</v>
      </c>
      <c r="E1345" s="32" t="s">
        <v>2183</v>
      </c>
      <c r="F1345" s="32" t="s">
        <v>237</v>
      </c>
      <c r="G1345" s="38" t="s">
        <v>117</v>
      </c>
      <c r="H1345" s="32" t="s">
        <v>242</v>
      </c>
      <c r="I1345" s="32" t="s">
        <v>243</v>
      </c>
      <c r="J1345" s="32" t="s">
        <v>1992</v>
      </c>
      <c r="K1345" s="32" t="s">
        <v>1513</v>
      </c>
      <c r="L1345" s="32" t="s">
        <v>30</v>
      </c>
      <c r="M1345" s="32" t="s">
        <v>30</v>
      </c>
      <c r="N1345" s="40">
        <v>2006</v>
      </c>
      <c r="O1345" s="32">
        <f>VLOOKUP(Data!N1221, CPI!$A$2:$B$112, 2, 0)</f>
        <v>218.05600000000001</v>
      </c>
      <c r="P1345" s="32" t="s">
        <v>238</v>
      </c>
      <c r="Q1345" s="32" t="s">
        <v>239</v>
      </c>
      <c r="R1345" s="32" t="s">
        <v>2757</v>
      </c>
      <c r="S1345" s="32">
        <v>119000</v>
      </c>
      <c r="T1345" s="32" t="s">
        <v>1385</v>
      </c>
      <c r="U1345" s="32">
        <f t="shared" si="85"/>
        <v>22884.615384615383</v>
      </c>
      <c r="V1345" s="32" t="s">
        <v>1487</v>
      </c>
      <c r="W1345" s="32">
        <f>VLOOKUP(N1345, 'Exchange rate- Vietnam'!$A$2:$B$65, 2, 0)</f>
        <v>15994.25</v>
      </c>
      <c r="X1345" s="32">
        <f t="shared" si="86"/>
        <v>1.4308026562430487</v>
      </c>
      <c r="Y1345" s="32">
        <f>(CPI!$B$112/O1345)*X1345</f>
        <v>1.9991759144233561</v>
      </c>
      <c r="Z1345" s="38" t="s">
        <v>1609</v>
      </c>
      <c r="AA1345" s="35" t="s">
        <v>1447</v>
      </c>
      <c r="AB1345" s="40">
        <v>5.2</v>
      </c>
      <c r="AC1345" s="40" t="s">
        <v>1412</v>
      </c>
      <c r="AH1345" s="32" t="s">
        <v>411</v>
      </c>
      <c r="AJ1345" s="35" t="s">
        <v>2278</v>
      </c>
      <c r="AK1345" s="40" t="s">
        <v>1993</v>
      </c>
      <c r="AL1345" s="32">
        <v>2008</v>
      </c>
      <c r="AM1345" s="32" t="s">
        <v>1994</v>
      </c>
      <c r="AN1345" s="32" t="s">
        <v>1995</v>
      </c>
      <c r="AO1345" s="38" t="s">
        <v>1996</v>
      </c>
      <c r="AP1345" s="35" t="s">
        <v>396</v>
      </c>
    </row>
    <row r="1346" spans="1:42" x14ac:dyDescent="0.2">
      <c r="A1346" s="40">
        <v>137</v>
      </c>
      <c r="B1346" s="40">
        <v>1345</v>
      </c>
      <c r="C1346" s="40" t="s">
        <v>119</v>
      </c>
      <c r="D1346" s="38" t="s">
        <v>128</v>
      </c>
      <c r="E1346" s="32" t="s">
        <v>2183</v>
      </c>
      <c r="F1346" s="32" t="s">
        <v>237</v>
      </c>
      <c r="G1346" s="38" t="s">
        <v>117</v>
      </c>
      <c r="H1346" s="32" t="s">
        <v>242</v>
      </c>
      <c r="I1346" s="32" t="s">
        <v>243</v>
      </c>
      <c r="J1346" s="32" t="s">
        <v>1992</v>
      </c>
      <c r="K1346" s="32" t="s">
        <v>1513</v>
      </c>
      <c r="L1346" s="32" t="s">
        <v>30</v>
      </c>
      <c r="M1346" s="32" t="s">
        <v>30</v>
      </c>
      <c r="N1346" s="40">
        <v>2006</v>
      </c>
      <c r="O1346" s="32">
        <f>VLOOKUP(Data!N1222, CPI!$A$2:$B$112, 2, 0)</f>
        <v>218.05600000000001</v>
      </c>
      <c r="P1346" s="32" t="s">
        <v>238</v>
      </c>
      <c r="Q1346" s="32" t="s">
        <v>239</v>
      </c>
      <c r="R1346" s="32" t="s">
        <v>2751</v>
      </c>
      <c r="S1346" s="32">
        <v>1200</v>
      </c>
      <c r="T1346" s="32" t="s">
        <v>1385</v>
      </c>
      <c r="U1346" s="32">
        <f t="shared" si="85"/>
        <v>222.2222222222222</v>
      </c>
      <c r="V1346" s="32" t="s">
        <v>1487</v>
      </c>
      <c r="W1346" s="32">
        <f>VLOOKUP(N1346, 'Exchange rate- Vietnam'!$A$2:$B$65, 2, 0)</f>
        <v>15994.25</v>
      </c>
      <c r="X1346" s="32">
        <f t="shared" si="86"/>
        <v>1.389388200273362E-2</v>
      </c>
      <c r="Y1346" s="32">
        <f>(CPI!$B$112/O1346)*X1346</f>
        <v>1.9413099449115689E-2</v>
      </c>
      <c r="Z1346" s="38" t="s">
        <v>1609</v>
      </c>
      <c r="AA1346" s="35" t="s">
        <v>1447</v>
      </c>
      <c r="AB1346" s="32">
        <v>5.4</v>
      </c>
      <c r="AC1346" s="40" t="s">
        <v>1412</v>
      </c>
      <c r="AH1346" s="32" t="s">
        <v>411</v>
      </c>
      <c r="AJ1346" s="35" t="s">
        <v>2278</v>
      </c>
      <c r="AK1346" s="40" t="s">
        <v>1993</v>
      </c>
      <c r="AL1346" s="32">
        <v>2008</v>
      </c>
      <c r="AM1346" s="32" t="s">
        <v>1994</v>
      </c>
      <c r="AN1346" s="32" t="s">
        <v>1995</v>
      </c>
      <c r="AO1346" s="38" t="s">
        <v>1996</v>
      </c>
      <c r="AP1346" s="35" t="s">
        <v>396</v>
      </c>
    </row>
    <row r="1347" spans="1:42" x14ac:dyDescent="0.2">
      <c r="A1347" s="40">
        <v>137</v>
      </c>
      <c r="B1347" s="40">
        <v>1346</v>
      </c>
      <c r="C1347" s="40" t="s">
        <v>119</v>
      </c>
      <c r="D1347" s="38" t="s">
        <v>128</v>
      </c>
      <c r="E1347" s="32" t="s">
        <v>2183</v>
      </c>
      <c r="F1347" s="32" t="s">
        <v>237</v>
      </c>
      <c r="G1347" s="38" t="s">
        <v>1923</v>
      </c>
      <c r="H1347" s="32" t="s">
        <v>242</v>
      </c>
      <c r="I1347" s="32" t="s">
        <v>243</v>
      </c>
      <c r="J1347" s="32" t="s">
        <v>1992</v>
      </c>
      <c r="K1347" s="32" t="s">
        <v>1513</v>
      </c>
      <c r="L1347" s="32" t="s">
        <v>30</v>
      </c>
      <c r="M1347" s="32" t="s">
        <v>30</v>
      </c>
      <c r="N1347" s="40">
        <v>2006</v>
      </c>
      <c r="O1347" s="32">
        <f>VLOOKUP(Data!N1223, CPI!$A$2:$B$112, 2, 0)</f>
        <v>218.05600000000001</v>
      </c>
      <c r="P1347" s="32" t="s">
        <v>238</v>
      </c>
      <c r="Q1347" s="32" t="s">
        <v>239</v>
      </c>
      <c r="R1347" s="32" t="s">
        <v>2752</v>
      </c>
      <c r="S1347" s="32">
        <v>9499</v>
      </c>
      <c r="T1347" s="32" t="s">
        <v>1385</v>
      </c>
      <c r="U1347" s="32">
        <f t="shared" si="85"/>
        <v>79356.725146198834</v>
      </c>
      <c r="V1347" s="32" t="s">
        <v>1487</v>
      </c>
      <c r="W1347" s="32">
        <f>VLOOKUP(N1347, 'Exchange rate- Vietnam'!$A$2:$B$65, 2, 0)</f>
        <v>15994.25</v>
      </c>
      <c r="X1347" s="32">
        <f t="shared" si="86"/>
        <v>4.9615783888709277</v>
      </c>
      <c r="Y1347" s="32">
        <f>(CPI!$B$112/O1347)*X1347</f>
        <v>6.9325199874868408</v>
      </c>
      <c r="Z1347" s="38" t="s">
        <v>1609</v>
      </c>
      <c r="AA1347" s="35" t="s">
        <v>1447</v>
      </c>
      <c r="AB1347" s="32">
        <v>0.1197</v>
      </c>
      <c r="AC1347" s="40" t="s">
        <v>1464</v>
      </c>
      <c r="AH1347" s="32" t="s">
        <v>411</v>
      </c>
      <c r="AJ1347" s="35" t="s">
        <v>2278</v>
      </c>
      <c r="AK1347" s="40" t="s">
        <v>1993</v>
      </c>
      <c r="AL1347" s="32">
        <v>2008</v>
      </c>
      <c r="AM1347" s="32" t="s">
        <v>1994</v>
      </c>
      <c r="AN1347" s="32" t="s">
        <v>1995</v>
      </c>
      <c r="AO1347" s="38" t="s">
        <v>1996</v>
      </c>
      <c r="AP1347" s="35" t="s">
        <v>396</v>
      </c>
    </row>
    <row r="1348" spans="1:42" x14ac:dyDescent="0.2">
      <c r="A1348" s="40">
        <v>137</v>
      </c>
      <c r="B1348" s="40">
        <v>1347</v>
      </c>
      <c r="C1348" s="40" t="s">
        <v>119</v>
      </c>
      <c r="D1348" s="38" t="s">
        <v>128</v>
      </c>
      <c r="E1348" s="32" t="s">
        <v>2183</v>
      </c>
      <c r="F1348" s="32" t="s">
        <v>237</v>
      </c>
      <c r="G1348" s="38" t="s">
        <v>1923</v>
      </c>
      <c r="H1348" s="32" t="s">
        <v>242</v>
      </c>
      <c r="I1348" s="32" t="s">
        <v>243</v>
      </c>
      <c r="J1348" s="32" t="s">
        <v>1992</v>
      </c>
      <c r="K1348" s="32" t="s">
        <v>1513</v>
      </c>
      <c r="L1348" s="32" t="s">
        <v>30</v>
      </c>
      <c r="M1348" s="32" t="s">
        <v>30</v>
      </c>
      <c r="N1348" s="40">
        <v>2006</v>
      </c>
      <c r="O1348" s="32">
        <f>VLOOKUP(Data!N1224, CPI!$A$2:$B$112, 2, 0)</f>
        <v>218.05600000000001</v>
      </c>
      <c r="P1348" s="32" t="s">
        <v>238</v>
      </c>
      <c r="Q1348" s="32" t="s">
        <v>239</v>
      </c>
      <c r="R1348" s="32" t="s">
        <v>2758</v>
      </c>
      <c r="S1348" s="32">
        <v>475000</v>
      </c>
      <c r="T1348" s="32" t="s">
        <v>1385</v>
      </c>
      <c r="U1348" s="32">
        <f t="shared" si="85"/>
        <v>5379388.4484711206</v>
      </c>
      <c r="V1348" s="32" t="s">
        <v>1487</v>
      </c>
      <c r="W1348" s="32">
        <f>VLOOKUP(N1348, 'Exchange rate- Vietnam'!$A$2:$B$65, 2, 0)</f>
        <v>15994.25</v>
      </c>
      <c r="X1348" s="32">
        <f t="shared" si="86"/>
        <v>336.33264757466719</v>
      </c>
      <c r="Y1348" s="32">
        <f>(CPI!$B$112/O1348)*X1348</f>
        <v>469.93771316517314</v>
      </c>
      <c r="Z1348" s="38" t="s">
        <v>1609</v>
      </c>
      <c r="AA1348" s="35" t="s">
        <v>1447</v>
      </c>
      <c r="AB1348" s="32">
        <v>8.8300000000000003E-2</v>
      </c>
      <c r="AC1348" s="40" t="s">
        <v>1464</v>
      </c>
      <c r="AH1348" s="32" t="s">
        <v>411</v>
      </c>
      <c r="AJ1348" s="35" t="s">
        <v>2278</v>
      </c>
      <c r="AK1348" s="40" t="s">
        <v>1993</v>
      </c>
      <c r="AL1348" s="32">
        <v>2008</v>
      </c>
      <c r="AM1348" s="32" t="s">
        <v>1994</v>
      </c>
      <c r="AN1348" s="32" t="s">
        <v>1995</v>
      </c>
      <c r="AO1348" s="38" t="s">
        <v>1996</v>
      </c>
      <c r="AP1348" s="35" t="s">
        <v>396</v>
      </c>
    </row>
    <row r="1349" spans="1:42" x14ac:dyDescent="0.2">
      <c r="A1349" s="40">
        <v>137</v>
      </c>
      <c r="B1349" s="40">
        <v>1348</v>
      </c>
      <c r="C1349" s="40" t="s">
        <v>119</v>
      </c>
      <c r="D1349" s="38" t="s">
        <v>128</v>
      </c>
      <c r="E1349" s="32" t="s">
        <v>2183</v>
      </c>
      <c r="F1349" s="32" t="s">
        <v>237</v>
      </c>
      <c r="G1349" s="38" t="s">
        <v>1923</v>
      </c>
      <c r="H1349" s="32" t="s">
        <v>242</v>
      </c>
      <c r="I1349" s="32" t="s">
        <v>243</v>
      </c>
      <c r="J1349" s="32" t="s">
        <v>1992</v>
      </c>
      <c r="K1349" s="32" t="s">
        <v>1513</v>
      </c>
      <c r="L1349" s="32" t="s">
        <v>30</v>
      </c>
      <c r="M1349" s="32" t="s">
        <v>30</v>
      </c>
      <c r="N1349" s="40">
        <v>2006</v>
      </c>
      <c r="O1349" s="32">
        <f>VLOOKUP(Data!N1225, CPI!$A$2:$B$112, 2, 0)</f>
        <v>218.05600000000001</v>
      </c>
      <c r="P1349" s="32" t="s">
        <v>238</v>
      </c>
      <c r="Q1349" s="32" t="s">
        <v>239</v>
      </c>
      <c r="R1349" s="32" t="s">
        <v>2753</v>
      </c>
      <c r="S1349" s="32">
        <v>345000</v>
      </c>
      <c r="T1349" s="32" t="s">
        <v>1385</v>
      </c>
      <c r="U1349" s="32">
        <f t="shared" si="85"/>
        <v>6969696.9696969697</v>
      </c>
      <c r="V1349" s="32" t="s">
        <v>1487</v>
      </c>
      <c r="W1349" s="32">
        <f>VLOOKUP(N1349, 'Exchange rate- Vietnam'!$A$2:$B$65, 2, 0)</f>
        <v>15994.25</v>
      </c>
      <c r="X1349" s="32">
        <f t="shared" si="86"/>
        <v>435.76266281300906</v>
      </c>
      <c r="Y1349" s="32">
        <f>(CPI!$B$112/O1349)*X1349</f>
        <v>608.86539181317403</v>
      </c>
      <c r="Z1349" s="38" t="s">
        <v>1609</v>
      </c>
      <c r="AA1349" s="35" t="s">
        <v>1447</v>
      </c>
      <c r="AB1349" s="32">
        <v>4.9500000000000002E-2</v>
      </c>
      <c r="AC1349" s="40" t="s">
        <v>1464</v>
      </c>
      <c r="AH1349" s="32" t="s">
        <v>411</v>
      </c>
      <c r="AJ1349" s="35" t="s">
        <v>2278</v>
      </c>
      <c r="AK1349" s="40" t="s">
        <v>1993</v>
      </c>
      <c r="AL1349" s="32">
        <v>2008</v>
      </c>
      <c r="AM1349" s="32" t="s">
        <v>1994</v>
      </c>
      <c r="AN1349" s="32" t="s">
        <v>1995</v>
      </c>
      <c r="AO1349" s="38" t="s">
        <v>1996</v>
      </c>
      <c r="AP1349" s="35" t="s">
        <v>396</v>
      </c>
    </row>
    <row r="1350" spans="1:42" x14ac:dyDescent="0.2">
      <c r="A1350" s="40">
        <v>138</v>
      </c>
      <c r="B1350" s="40">
        <v>1349</v>
      </c>
      <c r="C1350" s="40" t="s">
        <v>39</v>
      </c>
      <c r="D1350" s="38" t="s">
        <v>1997</v>
      </c>
      <c r="E1350" s="32" t="s">
        <v>2183</v>
      </c>
      <c r="F1350" s="32" t="s">
        <v>126</v>
      </c>
      <c r="G1350" s="38" t="s">
        <v>152</v>
      </c>
      <c r="H1350" s="32" t="s">
        <v>151</v>
      </c>
      <c r="I1350" s="32" t="s">
        <v>137</v>
      </c>
      <c r="J1350" s="32" t="s">
        <v>1513</v>
      </c>
      <c r="K1350" s="32" t="s">
        <v>1513</v>
      </c>
      <c r="L1350" s="32" t="s">
        <v>30</v>
      </c>
      <c r="M1350" s="32" t="s">
        <v>30</v>
      </c>
      <c r="N1350" s="40">
        <v>2019</v>
      </c>
      <c r="O1350" s="32">
        <f>VLOOKUP(Data!N921, CPI!$A$2:$B$112, 2, 0)</f>
        <v>236.73599999999999</v>
      </c>
      <c r="P1350" s="32" t="s">
        <v>238</v>
      </c>
      <c r="Q1350" s="32" t="s">
        <v>239</v>
      </c>
      <c r="R1350" s="32" t="s">
        <v>1998</v>
      </c>
      <c r="S1350" s="32">
        <v>1700000000</v>
      </c>
      <c r="T1350" s="32" t="s">
        <v>300</v>
      </c>
      <c r="U1350" s="32">
        <f t="shared" si="85"/>
        <v>408.65384615384613</v>
      </c>
      <c r="V1350" s="32" t="s">
        <v>316</v>
      </c>
      <c r="X1350" s="32">
        <f>U1350</f>
        <v>408.65384615384613</v>
      </c>
      <c r="Y1350" s="32">
        <f>(CPI!$B$112/O1350)*X1350</f>
        <v>525.93321556989156</v>
      </c>
      <c r="Z1350" s="38" t="s">
        <v>262</v>
      </c>
      <c r="AA1350" s="35" t="s">
        <v>1999</v>
      </c>
      <c r="AB1350" s="40">
        <v>4160000</v>
      </c>
      <c r="AC1350" s="40" t="s">
        <v>1999</v>
      </c>
      <c r="AH1350" s="32" t="s">
        <v>411</v>
      </c>
      <c r="AJ1350" s="35" t="s">
        <v>2278</v>
      </c>
      <c r="AK1350" s="40" t="s">
        <v>2000</v>
      </c>
      <c r="AL1350" s="32">
        <v>2021</v>
      </c>
      <c r="AM1350" s="32" t="s">
        <v>2001</v>
      </c>
      <c r="AN1350" s="32" t="s">
        <v>2002</v>
      </c>
      <c r="AO1350" s="38" t="s">
        <v>2003</v>
      </c>
      <c r="AP1350" s="35" t="s">
        <v>396</v>
      </c>
    </row>
    <row r="1351" spans="1:42" x14ac:dyDescent="0.2">
      <c r="A1351" s="40">
        <v>138</v>
      </c>
      <c r="B1351" s="40">
        <v>1350</v>
      </c>
      <c r="C1351" s="40" t="s">
        <v>39</v>
      </c>
      <c r="D1351" s="38" t="s">
        <v>1997</v>
      </c>
      <c r="E1351" s="32" t="s">
        <v>2183</v>
      </c>
      <c r="F1351" s="32" t="s">
        <v>126</v>
      </c>
      <c r="G1351" s="38" t="s">
        <v>152</v>
      </c>
      <c r="H1351" s="32" t="s">
        <v>151</v>
      </c>
      <c r="I1351" s="32" t="s">
        <v>243</v>
      </c>
      <c r="J1351" s="32" t="s">
        <v>2007</v>
      </c>
      <c r="K1351" s="32" t="s">
        <v>1513</v>
      </c>
      <c r="L1351" s="32" t="s">
        <v>30</v>
      </c>
      <c r="M1351" s="32" t="s">
        <v>30</v>
      </c>
      <c r="N1351" s="40">
        <v>2010</v>
      </c>
      <c r="O1351" s="32">
        <f>VLOOKUP(Data!N922, CPI!$A$2:$B$112, 2, 0)</f>
        <v>236.73599999999999</v>
      </c>
      <c r="P1351" s="32" t="s">
        <v>238</v>
      </c>
      <c r="Q1351" s="32" t="s">
        <v>239</v>
      </c>
      <c r="R1351" s="32" t="s">
        <v>2004</v>
      </c>
      <c r="S1351" s="32">
        <v>2652</v>
      </c>
      <c r="T1351" s="32" t="s">
        <v>316</v>
      </c>
      <c r="U1351" s="32">
        <v>2652</v>
      </c>
      <c r="V1351" s="32" t="s">
        <v>316</v>
      </c>
      <c r="X1351" s="32">
        <f>U1351</f>
        <v>2652</v>
      </c>
      <c r="Y1351" s="32">
        <f>(CPI!$B$112/O1351)*X1351</f>
        <v>3413.0961957623686</v>
      </c>
      <c r="Z1351" s="38" t="s">
        <v>262</v>
      </c>
      <c r="AA1351" s="35" t="s">
        <v>1445</v>
      </c>
      <c r="AB1351" s="32">
        <v>7840.6</v>
      </c>
      <c r="AC1351" s="32" t="s">
        <v>2766</v>
      </c>
      <c r="AH1351" s="32" t="s">
        <v>411</v>
      </c>
      <c r="AK1351" s="40" t="s">
        <v>2008</v>
      </c>
      <c r="AL1351" s="32">
        <v>2012</v>
      </c>
      <c r="AM1351" s="32" t="s">
        <v>2009</v>
      </c>
      <c r="AN1351" s="32" t="s">
        <v>2010</v>
      </c>
      <c r="AP1351" s="35" t="s">
        <v>396</v>
      </c>
    </row>
    <row r="1352" spans="1:42" x14ac:dyDescent="0.2">
      <c r="A1352" s="40">
        <v>138</v>
      </c>
      <c r="B1352" s="40">
        <v>1351</v>
      </c>
      <c r="C1352" s="40" t="s">
        <v>39</v>
      </c>
      <c r="D1352" s="38" t="s">
        <v>1997</v>
      </c>
      <c r="E1352" s="32" t="s">
        <v>2183</v>
      </c>
      <c r="F1352" s="32" t="s">
        <v>126</v>
      </c>
      <c r="G1352" s="38" t="s">
        <v>152</v>
      </c>
      <c r="H1352" s="32" t="s">
        <v>151</v>
      </c>
      <c r="I1352" s="32" t="s">
        <v>243</v>
      </c>
      <c r="J1352" s="32" t="s">
        <v>2007</v>
      </c>
      <c r="K1352" s="32" t="s">
        <v>1513</v>
      </c>
      <c r="L1352" s="32" t="s">
        <v>30</v>
      </c>
      <c r="M1352" s="32" t="s">
        <v>30</v>
      </c>
      <c r="N1352" s="40">
        <v>2010</v>
      </c>
      <c r="O1352" s="32">
        <f>VLOOKUP(Data!N923, CPI!$A$2:$B$112, 2, 0)</f>
        <v>236.73599999999999</v>
      </c>
      <c r="P1352" s="32" t="s">
        <v>238</v>
      </c>
      <c r="Q1352" s="32" t="s">
        <v>239</v>
      </c>
      <c r="R1352" s="32" t="s">
        <v>2005</v>
      </c>
      <c r="S1352" s="32">
        <v>2283</v>
      </c>
      <c r="T1352" s="32" t="s">
        <v>316</v>
      </c>
      <c r="U1352" s="32">
        <v>2283</v>
      </c>
      <c r="V1352" s="32" t="s">
        <v>316</v>
      </c>
      <c r="X1352" s="32">
        <f>U1352</f>
        <v>2283</v>
      </c>
      <c r="Y1352" s="32">
        <f>(CPI!$B$112/O1352)*X1352</f>
        <v>2938.1970644515413</v>
      </c>
      <c r="Z1352" s="38" t="s">
        <v>262</v>
      </c>
      <c r="AA1352" s="35" t="s">
        <v>1445</v>
      </c>
      <c r="AB1352" s="32">
        <v>7840.6</v>
      </c>
      <c r="AC1352" s="32" t="s">
        <v>2766</v>
      </c>
      <c r="AH1352" s="32" t="s">
        <v>411</v>
      </c>
      <c r="AK1352" s="40" t="s">
        <v>2008</v>
      </c>
      <c r="AL1352" s="32">
        <v>2012</v>
      </c>
      <c r="AM1352" s="32" t="s">
        <v>2009</v>
      </c>
      <c r="AN1352" s="32" t="s">
        <v>2010</v>
      </c>
      <c r="AP1352" s="35" t="s">
        <v>396</v>
      </c>
    </row>
    <row r="1353" spans="1:42" x14ac:dyDescent="0.2">
      <c r="A1353" s="40">
        <v>138</v>
      </c>
      <c r="B1353" s="40">
        <v>1352</v>
      </c>
      <c r="C1353" s="40" t="s">
        <v>39</v>
      </c>
      <c r="D1353" s="38" t="s">
        <v>1997</v>
      </c>
      <c r="E1353" s="32" t="s">
        <v>2183</v>
      </c>
      <c r="F1353" s="32" t="s">
        <v>126</v>
      </c>
      <c r="G1353" s="38" t="s">
        <v>152</v>
      </c>
      <c r="H1353" s="32" t="s">
        <v>151</v>
      </c>
      <c r="I1353" s="32" t="s">
        <v>243</v>
      </c>
      <c r="J1353" s="32" t="s">
        <v>2007</v>
      </c>
      <c r="K1353" s="32" t="s">
        <v>1513</v>
      </c>
      <c r="L1353" s="32" t="s">
        <v>30</v>
      </c>
      <c r="M1353" s="32" t="s">
        <v>30</v>
      </c>
      <c r="N1353" s="40">
        <v>2010</v>
      </c>
      <c r="O1353" s="32">
        <f>VLOOKUP(Data!N924, CPI!$A$2:$B$112, 2, 0)</f>
        <v>236.73599999999999</v>
      </c>
      <c r="P1353" s="32" t="s">
        <v>238</v>
      </c>
      <c r="Q1353" s="32" t="s">
        <v>239</v>
      </c>
      <c r="R1353" s="32" t="s">
        <v>2006</v>
      </c>
      <c r="S1353" s="32">
        <v>464</v>
      </c>
      <c r="T1353" s="32" t="s">
        <v>316</v>
      </c>
      <c r="U1353" s="32">
        <v>464</v>
      </c>
      <c r="V1353" s="32" t="s">
        <v>316</v>
      </c>
      <c r="X1353" s="32">
        <f>U1353</f>
        <v>464</v>
      </c>
      <c r="Y1353" s="32">
        <f>(CPI!$B$112/O1353)*X1353</f>
        <v>597.16313530683976</v>
      </c>
      <c r="Z1353" s="38" t="s">
        <v>262</v>
      </c>
      <c r="AA1353" s="35" t="s">
        <v>1445</v>
      </c>
      <c r="AB1353" s="32">
        <v>7840.6</v>
      </c>
      <c r="AC1353" s="32" t="s">
        <v>2766</v>
      </c>
      <c r="AH1353" s="32" t="s">
        <v>411</v>
      </c>
      <c r="AK1353" s="40" t="s">
        <v>2008</v>
      </c>
      <c r="AL1353" s="32">
        <v>2012</v>
      </c>
      <c r="AM1353" s="32" t="s">
        <v>2009</v>
      </c>
      <c r="AN1353" s="32" t="s">
        <v>2010</v>
      </c>
      <c r="AP1353" s="35" t="s">
        <v>396</v>
      </c>
    </row>
    <row r="1354" spans="1:42" x14ac:dyDescent="0.2">
      <c r="A1354" s="40">
        <v>138</v>
      </c>
      <c r="B1354" s="40">
        <v>1353</v>
      </c>
      <c r="C1354" s="40" t="s">
        <v>39</v>
      </c>
      <c r="D1354" s="38" t="s">
        <v>1997</v>
      </c>
      <c r="E1354" s="32" t="s">
        <v>2183</v>
      </c>
      <c r="F1354" s="32" t="s">
        <v>126</v>
      </c>
      <c r="G1354" s="38" t="s">
        <v>152</v>
      </c>
      <c r="H1354" s="32" t="s">
        <v>151</v>
      </c>
      <c r="I1354" s="32" t="s">
        <v>243</v>
      </c>
      <c r="J1354" s="32" t="s">
        <v>2007</v>
      </c>
      <c r="K1354" s="32" t="s">
        <v>1513</v>
      </c>
      <c r="L1354" s="32" t="s">
        <v>30</v>
      </c>
      <c r="M1354" s="32" t="s">
        <v>30</v>
      </c>
      <c r="N1354" s="40">
        <v>2010</v>
      </c>
      <c r="O1354" s="32">
        <f>VLOOKUP(Data!N1226, CPI!$A$2:$B$112, 2, 0)</f>
        <v>218.05600000000001</v>
      </c>
      <c r="P1354" s="32" t="s">
        <v>238</v>
      </c>
      <c r="Q1354" s="32" t="s">
        <v>250</v>
      </c>
      <c r="R1354" s="32" t="s">
        <v>2763</v>
      </c>
      <c r="S1354" s="32">
        <v>18252</v>
      </c>
      <c r="T1354" s="32" t="s">
        <v>300</v>
      </c>
      <c r="U1354" s="32">
        <v>18252</v>
      </c>
      <c r="V1354" s="32" t="s">
        <v>1487</v>
      </c>
      <c r="W1354" s="32">
        <f>VLOOKUP(N1354, 'Exchange rate- Vietnam'!$A$2:$B$65, 2, 0)</f>
        <v>18612.916666666701</v>
      </c>
      <c r="X1354" s="32">
        <f>U1354/W1354</f>
        <v>0.98060934386962284</v>
      </c>
      <c r="Y1354" s="32">
        <f>(CPI!$B$112/O1354)*X1354</f>
        <v>1.3701474296044553</v>
      </c>
      <c r="Z1354" s="38" t="s">
        <v>262</v>
      </c>
      <c r="AA1354" s="35" t="s">
        <v>1445</v>
      </c>
      <c r="AB1354" s="32">
        <v>7840.6</v>
      </c>
      <c r="AC1354" s="32" t="s">
        <v>2766</v>
      </c>
      <c r="AK1354" s="40" t="s">
        <v>2008</v>
      </c>
      <c r="AL1354" s="32">
        <v>2012</v>
      </c>
      <c r="AM1354" s="32" t="s">
        <v>2009</v>
      </c>
      <c r="AN1354" s="32" t="s">
        <v>2010</v>
      </c>
      <c r="AP1354" s="35" t="s">
        <v>396</v>
      </c>
    </row>
    <row r="1355" spans="1:42" x14ac:dyDescent="0.2">
      <c r="A1355" s="40">
        <v>138</v>
      </c>
      <c r="B1355" s="40">
        <v>1354</v>
      </c>
      <c r="C1355" s="40" t="s">
        <v>39</v>
      </c>
      <c r="D1355" s="38" t="s">
        <v>1997</v>
      </c>
      <c r="E1355" s="32" t="s">
        <v>2183</v>
      </c>
      <c r="F1355" s="32" t="s">
        <v>126</v>
      </c>
      <c r="G1355" s="38" t="s">
        <v>152</v>
      </c>
      <c r="H1355" s="32" t="s">
        <v>151</v>
      </c>
      <c r="I1355" s="32" t="s">
        <v>243</v>
      </c>
      <c r="J1355" s="32" t="s">
        <v>2007</v>
      </c>
      <c r="K1355" s="32" t="s">
        <v>1513</v>
      </c>
      <c r="L1355" s="32" t="s">
        <v>30</v>
      </c>
      <c r="M1355" s="32" t="s">
        <v>30</v>
      </c>
      <c r="N1355" s="40">
        <v>2010</v>
      </c>
      <c r="O1355" s="32">
        <f>VLOOKUP(Data!N1227, CPI!$A$2:$B$112, 2, 0)</f>
        <v>218.05600000000001</v>
      </c>
      <c r="P1355" s="32" t="s">
        <v>238</v>
      </c>
      <c r="Q1355" s="32" t="s">
        <v>250</v>
      </c>
      <c r="R1355" s="32" t="s">
        <v>2764</v>
      </c>
      <c r="S1355" s="32">
        <v>16122</v>
      </c>
      <c r="T1355" s="32" t="s">
        <v>300</v>
      </c>
      <c r="U1355" s="32">
        <v>16122</v>
      </c>
      <c r="V1355" s="32" t="s">
        <v>1487</v>
      </c>
      <c r="W1355" s="32">
        <f>VLOOKUP(N1355, 'Exchange rate- Vietnam'!$A$2:$B$65, 2, 0)</f>
        <v>18612.916666666701</v>
      </c>
      <c r="X1355" s="32">
        <f>U1355/W1355</f>
        <v>0.86617268473953857</v>
      </c>
      <c r="Y1355" s="32">
        <f>(CPI!$B$112/O1355)*X1355</f>
        <v>1.2102518551437118</v>
      </c>
      <c r="Z1355" s="38" t="s">
        <v>262</v>
      </c>
      <c r="AA1355" s="35" t="s">
        <v>1445</v>
      </c>
      <c r="AB1355" s="32">
        <v>7840.6</v>
      </c>
      <c r="AC1355" s="32" t="s">
        <v>2766</v>
      </c>
      <c r="AK1355" s="40" t="s">
        <v>2008</v>
      </c>
      <c r="AL1355" s="32">
        <v>2012</v>
      </c>
      <c r="AM1355" s="32" t="s">
        <v>2009</v>
      </c>
      <c r="AN1355" s="32" t="s">
        <v>2010</v>
      </c>
      <c r="AP1355" s="35" t="s">
        <v>396</v>
      </c>
    </row>
    <row r="1356" spans="1:42" x14ac:dyDescent="0.2">
      <c r="A1356" s="40">
        <v>138</v>
      </c>
      <c r="B1356" s="40">
        <v>1355</v>
      </c>
      <c r="C1356" s="40" t="s">
        <v>39</v>
      </c>
      <c r="D1356" s="38" t="s">
        <v>1997</v>
      </c>
      <c r="E1356" s="32" t="s">
        <v>2183</v>
      </c>
      <c r="F1356" s="32" t="s">
        <v>126</v>
      </c>
      <c r="G1356" s="38" t="s">
        <v>152</v>
      </c>
      <c r="H1356" s="32" t="s">
        <v>151</v>
      </c>
      <c r="I1356" s="32" t="s">
        <v>243</v>
      </c>
      <c r="J1356" s="32" t="s">
        <v>2007</v>
      </c>
      <c r="K1356" s="32" t="s">
        <v>1513</v>
      </c>
      <c r="L1356" s="32" t="s">
        <v>30</v>
      </c>
      <c r="M1356" s="32" t="s">
        <v>30</v>
      </c>
      <c r="N1356" s="40">
        <v>2010</v>
      </c>
      <c r="O1356" s="32">
        <f>VLOOKUP(Data!N1228, CPI!$A$2:$B$112, 2, 0)</f>
        <v>218.05600000000001</v>
      </c>
      <c r="P1356" s="32" t="s">
        <v>238</v>
      </c>
      <c r="Q1356" s="32" t="s">
        <v>250</v>
      </c>
      <c r="R1356" s="32" t="s">
        <v>2765</v>
      </c>
      <c r="S1356" s="32">
        <v>7115</v>
      </c>
      <c r="T1356" s="32" t="s">
        <v>300</v>
      </c>
      <c r="U1356" s="32">
        <v>7115</v>
      </c>
      <c r="V1356" s="32" t="s">
        <v>1487</v>
      </c>
      <c r="W1356" s="32">
        <f>VLOOKUP(N1356, 'Exchange rate- Vietnam'!$A$2:$B$65, 2, 0)</f>
        <v>18612.916666666701</v>
      </c>
      <c r="X1356" s="32">
        <f>U1356/W1356</f>
        <v>0.38226142239931876</v>
      </c>
      <c r="Y1356" s="32">
        <f>(CPI!$B$112/O1356)*X1356</f>
        <v>0.53411127337473696</v>
      </c>
      <c r="Z1356" s="38" t="s">
        <v>262</v>
      </c>
      <c r="AA1356" s="35" t="s">
        <v>1445</v>
      </c>
      <c r="AB1356" s="32">
        <v>7840.6</v>
      </c>
      <c r="AC1356" s="32" t="s">
        <v>2766</v>
      </c>
      <c r="AK1356" s="40" t="s">
        <v>2008</v>
      </c>
      <c r="AL1356" s="32">
        <v>2012</v>
      </c>
      <c r="AM1356" s="32" t="s">
        <v>2009</v>
      </c>
      <c r="AN1356" s="32" t="s">
        <v>2010</v>
      </c>
      <c r="AP1356" s="35" t="s">
        <v>396</v>
      </c>
    </row>
    <row r="1357" spans="1:42" x14ac:dyDescent="0.2">
      <c r="A1357" s="40">
        <v>139</v>
      </c>
      <c r="B1357" s="40">
        <v>1356</v>
      </c>
      <c r="C1357" s="40" t="s">
        <v>119</v>
      </c>
      <c r="D1357" s="38" t="s">
        <v>128</v>
      </c>
      <c r="E1357" s="32" t="s">
        <v>2186</v>
      </c>
      <c r="F1357" s="32" t="s">
        <v>29</v>
      </c>
      <c r="G1357" s="38" t="s">
        <v>29</v>
      </c>
      <c r="H1357" s="32" t="s">
        <v>151</v>
      </c>
      <c r="I1357" s="32" t="s">
        <v>243</v>
      </c>
      <c r="J1357" s="32" t="s">
        <v>2014</v>
      </c>
      <c r="K1357" s="32" t="s">
        <v>1513</v>
      </c>
      <c r="L1357" s="32" t="s">
        <v>30</v>
      </c>
      <c r="M1357" s="32" t="s">
        <v>30</v>
      </c>
      <c r="N1357" s="40">
        <v>2002</v>
      </c>
      <c r="O1357" s="32">
        <f>VLOOKUP(Data!N925, CPI!$A$2:$B$112, 2, 0)</f>
        <v>236.73599999999999</v>
      </c>
      <c r="P1357" s="32" t="s">
        <v>238</v>
      </c>
      <c r="Q1357" s="32" t="s">
        <v>239</v>
      </c>
      <c r="R1357" s="32" t="s">
        <v>2011</v>
      </c>
      <c r="S1357" s="32">
        <v>400</v>
      </c>
      <c r="T1357" s="32" t="s">
        <v>362</v>
      </c>
      <c r="U1357" s="32">
        <f>S1357/AB1357</f>
        <v>25</v>
      </c>
      <c r="V1357" s="32" t="s">
        <v>316</v>
      </c>
      <c r="X1357" s="32">
        <f>U1357</f>
        <v>25</v>
      </c>
      <c r="Y1357" s="32">
        <f>(CPI!$B$112/O1357)*X1357</f>
        <v>32.174737893687485</v>
      </c>
      <c r="Z1357" s="38" t="s">
        <v>262</v>
      </c>
      <c r="AA1357" s="35" t="s">
        <v>1674</v>
      </c>
      <c r="AB1357" s="32">
        <v>16</v>
      </c>
      <c r="AC1357" s="32" t="s">
        <v>2767</v>
      </c>
      <c r="AH1357" s="32" t="s">
        <v>411</v>
      </c>
      <c r="AI1357" s="32" t="s">
        <v>2015</v>
      </c>
      <c r="AJ1357" s="35" t="s">
        <v>2278</v>
      </c>
      <c r="AK1357" s="40" t="s">
        <v>2018</v>
      </c>
      <c r="AL1357" s="32">
        <v>2007</v>
      </c>
      <c r="AM1357" s="32" t="s">
        <v>2019</v>
      </c>
      <c r="AN1357" s="32" t="s">
        <v>2020</v>
      </c>
      <c r="AO1357" s="38" t="s">
        <v>2021</v>
      </c>
      <c r="AP1357" s="35" t="s">
        <v>396</v>
      </c>
    </row>
    <row r="1358" spans="1:42" x14ac:dyDescent="0.2">
      <c r="A1358" s="40">
        <v>139</v>
      </c>
      <c r="B1358" s="40">
        <v>1357</v>
      </c>
      <c r="C1358" s="40" t="s">
        <v>119</v>
      </c>
      <c r="D1358" s="38" t="s">
        <v>128</v>
      </c>
      <c r="E1358" s="32" t="s">
        <v>2186</v>
      </c>
      <c r="F1358" s="32" t="s">
        <v>29</v>
      </c>
      <c r="G1358" s="38" t="s">
        <v>29</v>
      </c>
      <c r="H1358" s="32" t="s">
        <v>151</v>
      </c>
      <c r="I1358" s="32" t="s">
        <v>243</v>
      </c>
      <c r="J1358" s="32" t="s">
        <v>2014</v>
      </c>
      <c r="K1358" s="32" t="s">
        <v>1513</v>
      </c>
      <c r="L1358" s="32" t="s">
        <v>30</v>
      </c>
      <c r="M1358" s="32" t="s">
        <v>30</v>
      </c>
      <c r="N1358" s="40">
        <v>2002</v>
      </c>
      <c r="O1358" s="32">
        <f>VLOOKUP(Data!N926, CPI!$A$2:$B$112, 2, 0)</f>
        <v>236.73599999999999</v>
      </c>
      <c r="P1358" s="32" t="s">
        <v>238</v>
      </c>
      <c r="Q1358" s="32" t="s">
        <v>247</v>
      </c>
      <c r="R1358" s="32" t="s">
        <v>2012</v>
      </c>
      <c r="S1358" s="32">
        <v>7</v>
      </c>
      <c r="T1358" s="32" t="s">
        <v>362</v>
      </c>
      <c r="U1358" s="32">
        <f>S1358/AB1358</f>
        <v>0.4375</v>
      </c>
      <c r="V1358" s="32" t="s">
        <v>316</v>
      </c>
      <c r="X1358" s="32">
        <f>U1358</f>
        <v>0.4375</v>
      </c>
      <c r="Y1358" s="32">
        <f>(CPI!$B$112/O1358)*X1358</f>
        <v>0.56305791313953102</v>
      </c>
      <c r="Z1358" s="38" t="s">
        <v>262</v>
      </c>
      <c r="AA1358" s="35" t="s">
        <v>1674</v>
      </c>
      <c r="AB1358" s="32">
        <v>16</v>
      </c>
      <c r="AC1358" s="32" t="s">
        <v>2767</v>
      </c>
      <c r="AH1358" s="32" t="s">
        <v>411</v>
      </c>
      <c r="AI1358" s="32" t="s">
        <v>2016</v>
      </c>
      <c r="AJ1358" s="35" t="s">
        <v>2278</v>
      </c>
      <c r="AK1358" s="40" t="s">
        <v>2018</v>
      </c>
      <c r="AL1358" s="32">
        <v>2007</v>
      </c>
      <c r="AM1358" s="32" t="s">
        <v>2019</v>
      </c>
      <c r="AN1358" s="32" t="s">
        <v>2020</v>
      </c>
      <c r="AO1358" s="38" t="s">
        <v>2021</v>
      </c>
      <c r="AP1358" s="35" t="s">
        <v>396</v>
      </c>
    </row>
    <row r="1359" spans="1:42" x14ac:dyDescent="0.2">
      <c r="A1359" s="40">
        <v>139</v>
      </c>
      <c r="B1359" s="40">
        <v>1358</v>
      </c>
      <c r="C1359" s="40" t="s">
        <v>119</v>
      </c>
      <c r="D1359" s="38" t="s">
        <v>128</v>
      </c>
      <c r="E1359" s="32" t="s">
        <v>2186</v>
      </c>
      <c r="F1359" s="32" t="s">
        <v>29</v>
      </c>
      <c r="G1359" s="38" t="s">
        <v>29</v>
      </c>
      <c r="H1359" s="32" t="s">
        <v>151</v>
      </c>
      <c r="I1359" s="32" t="s">
        <v>243</v>
      </c>
      <c r="J1359" s="32" t="s">
        <v>2014</v>
      </c>
      <c r="K1359" s="32" t="s">
        <v>1513</v>
      </c>
      <c r="L1359" s="32" t="s">
        <v>30</v>
      </c>
      <c r="M1359" s="32" t="s">
        <v>30</v>
      </c>
      <c r="N1359" s="40">
        <v>2002</v>
      </c>
      <c r="O1359" s="32">
        <f>VLOOKUP(Data!N927, CPI!$A$2:$B$112, 2, 0)</f>
        <v>236.73599999999999</v>
      </c>
      <c r="P1359" s="32" t="s">
        <v>238</v>
      </c>
      <c r="Q1359" s="32" t="s">
        <v>247</v>
      </c>
      <c r="R1359" s="32" t="s">
        <v>2013</v>
      </c>
      <c r="S1359" s="32">
        <v>1100</v>
      </c>
      <c r="T1359" s="32" t="s">
        <v>362</v>
      </c>
      <c r="U1359" s="32">
        <f>S1359/AB1359</f>
        <v>68.75</v>
      </c>
      <c r="V1359" s="32" t="s">
        <v>316</v>
      </c>
      <c r="X1359" s="32">
        <f>U1359</f>
        <v>68.75</v>
      </c>
      <c r="Y1359" s="32">
        <f>(CPI!$B$112/O1359)*X1359</f>
        <v>88.480529207640586</v>
      </c>
      <c r="Z1359" s="38" t="s">
        <v>262</v>
      </c>
      <c r="AA1359" s="35" t="s">
        <v>1674</v>
      </c>
      <c r="AB1359" s="32">
        <v>16</v>
      </c>
      <c r="AC1359" s="32" t="s">
        <v>2767</v>
      </c>
      <c r="AH1359" s="32" t="s">
        <v>411</v>
      </c>
      <c r="AI1359" s="32" t="s">
        <v>2017</v>
      </c>
      <c r="AJ1359" s="35" t="s">
        <v>2278</v>
      </c>
      <c r="AK1359" s="40" t="s">
        <v>2018</v>
      </c>
      <c r="AL1359" s="32">
        <v>2007</v>
      </c>
      <c r="AM1359" s="32" t="s">
        <v>2019</v>
      </c>
      <c r="AN1359" s="32" t="s">
        <v>2020</v>
      </c>
      <c r="AO1359" s="38" t="s">
        <v>2021</v>
      </c>
      <c r="AP1359" s="35" t="s">
        <v>396</v>
      </c>
    </row>
    <row r="1360" spans="1:42" x14ac:dyDescent="0.2">
      <c r="A1360" s="40">
        <v>140</v>
      </c>
      <c r="B1360" s="40">
        <v>1359</v>
      </c>
      <c r="C1360" s="40" t="s">
        <v>114</v>
      </c>
      <c r="D1360" s="38" t="s">
        <v>218</v>
      </c>
      <c r="E1360" s="32" t="s">
        <v>2183</v>
      </c>
      <c r="F1360" s="32" t="s">
        <v>237</v>
      </c>
      <c r="G1360" s="38" t="s">
        <v>154</v>
      </c>
      <c r="H1360" s="32" t="s">
        <v>151</v>
      </c>
      <c r="I1360" s="32" t="s">
        <v>120</v>
      </c>
      <c r="J1360" s="32" t="s">
        <v>2022</v>
      </c>
      <c r="K1360" s="32" t="s">
        <v>1513</v>
      </c>
      <c r="L1360" s="32" t="s">
        <v>30</v>
      </c>
      <c r="M1360" s="32" t="s">
        <v>30</v>
      </c>
      <c r="N1360" s="40">
        <v>2008</v>
      </c>
      <c r="O1360" s="32">
        <f>VLOOKUP(Data!N928, CPI!$A$2:$B$112, 2, 0)</f>
        <v>236.73599999999999</v>
      </c>
      <c r="P1360" s="32" t="s">
        <v>7</v>
      </c>
      <c r="Q1360" s="32" t="s">
        <v>239</v>
      </c>
      <c r="R1360" s="32" t="s">
        <v>2023</v>
      </c>
      <c r="S1360" s="32">
        <v>6956</v>
      </c>
      <c r="T1360" s="32" t="s">
        <v>2768</v>
      </c>
      <c r="U1360" s="32">
        <f>S1360+S1361</f>
        <v>13461</v>
      </c>
      <c r="V1360" s="32" t="s">
        <v>316</v>
      </c>
      <c r="X1360" s="32">
        <f>U1360</f>
        <v>13461</v>
      </c>
      <c r="Y1360" s="32">
        <f>(CPI!$B$112/O1360)*X1360</f>
        <v>17324.165871477093</v>
      </c>
      <c r="Z1360" s="38" t="s">
        <v>262</v>
      </c>
      <c r="AA1360" s="35" t="s">
        <v>1445</v>
      </c>
      <c r="AB1360" s="32">
        <v>21220</v>
      </c>
      <c r="AC1360" s="32" t="s">
        <v>2770</v>
      </c>
      <c r="AH1360" s="32" t="s">
        <v>411</v>
      </c>
      <c r="AJ1360" s="35" t="s">
        <v>2777</v>
      </c>
      <c r="AK1360" s="40" t="s">
        <v>2025</v>
      </c>
      <c r="AL1360" s="32">
        <v>2011</v>
      </c>
      <c r="AM1360" s="32" t="s">
        <v>2026</v>
      </c>
      <c r="AN1360" s="32" t="s">
        <v>2027</v>
      </c>
      <c r="AO1360" s="38" t="s">
        <v>2028</v>
      </c>
      <c r="AP1360" s="35" t="s">
        <v>396</v>
      </c>
    </row>
    <row r="1361" spans="1:42" x14ac:dyDescent="0.2">
      <c r="A1361" s="40">
        <v>140</v>
      </c>
      <c r="B1361" s="40">
        <v>1360</v>
      </c>
      <c r="C1361" s="40" t="s">
        <v>114</v>
      </c>
      <c r="D1361" s="38" t="s">
        <v>218</v>
      </c>
      <c r="E1361" s="32" t="s">
        <v>2183</v>
      </c>
      <c r="F1361" s="32" t="s">
        <v>237</v>
      </c>
      <c r="G1361" s="38" t="s">
        <v>154</v>
      </c>
      <c r="H1361" s="32" t="s">
        <v>151</v>
      </c>
      <c r="I1361" s="32" t="s">
        <v>120</v>
      </c>
      <c r="J1361" s="32" t="s">
        <v>2022</v>
      </c>
      <c r="K1361" s="32" t="s">
        <v>1513</v>
      </c>
      <c r="L1361" s="32" t="s">
        <v>30</v>
      </c>
      <c r="M1361" s="32" t="s">
        <v>30</v>
      </c>
      <c r="N1361" s="40">
        <v>2008</v>
      </c>
      <c r="O1361" s="32">
        <f>VLOOKUP(Data!N1568, CPI!$A$2:$B$112, 2, 0)</f>
        <v>172.2</v>
      </c>
      <c r="P1361" s="32" t="s">
        <v>7</v>
      </c>
      <c r="Q1361" s="32" t="s">
        <v>239</v>
      </c>
      <c r="R1361" s="32" t="s">
        <v>2024</v>
      </c>
      <c r="S1361" s="32">
        <v>6505</v>
      </c>
      <c r="T1361" s="32" t="s">
        <v>2769</v>
      </c>
      <c r="Z1361" s="38" t="s">
        <v>262</v>
      </c>
      <c r="AA1361" s="35" t="s">
        <v>1445</v>
      </c>
      <c r="AB1361" s="32">
        <v>21220</v>
      </c>
      <c r="AC1361" s="32" t="s">
        <v>2770</v>
      </c>
      <c r="AH1361" s="32" t="s">
        <v>411</v>
      </c>
      <c r="AK1361" s="40" t="s">
        <v>2025</v>
      </c>
      <c r="AL1361" s="32">
        <v>2011</v>
      </c>
      <c r="AM1361" s="32" t="s">
        <v>2026</v>
      </c>
      <c r="AN1361" s="32" t="s">
        <v>2027</v>
      </c>
      <c r="AO1361" s="38" t="s">
        <v>2028</v>
      </c>
      <c r="AP1361" s="35" t="s">
        <v>396</v>
      </c>
    </row>
    <row r="1362" spans="1:42" x14ac:dyDescent="0.2">
      <c r="A1362" s="40">
        <v>141</v>
      </c>
      <c r="B1362" s="40">
        <v>1361</v>
      </c>
      <c r="C1362" s="40" t="s">
        <v>241</v>
      </c>
      <c r="D1362" s="38" t="s">
        <v>240</v>
      </c>
      <c r="E1362" s="32" t="s">
        <v>2183</v>
      </c>
      <c r="F1362" s="32" t="s">
        <v>244</v>
      </c>
      <c r="G1362" s="38" t="s">
        <v>2908</v>
      </c>
      <c r="H1362" s="32" t="s">
        <v>242</v>
      </c>
      <c r="I1362" s="32" t="s">
        <v>243</v>
      </c>
      <c r="J1362" s="32" t="s">
        <v>2029</v>
      </c>
      <c r="K1362" s="32" t="s">
        <v>1513</v>
      </c>
      <c r="L1362" s="32" t="s">
        <v>30</v>
      </c>
      <c r="M1362" s="32" t="s">
        <v>30</v>
      </c>
      <c r="N1362" s="40">
        <v>1986</v>
      </c>
      <c r="O1362" s="32">
        <f>VLOOKUP(Data!N929, CPI!$A$2:$B$112, 2, 0)</f>
        <v>236.73599999999999</v>
      </c>
      <c r="P1362" s="32" t="s">
        <v>132</v>
      </c>
      <c r="Q1362" s="32" t="s">
        <v>239</v>
      </c>
      <c r="R1362" s="32" t="s">
        <v>2030</v>
      </c>
      <c r="S1362" s="32">
        <v>400000</v>
      </c>
      <c r="T1362" s="32" t="s">
        <v>300</v>
      </c>
      <c r="U1362" s="32">
        <f t="shared" ref="U1362:U1393" si="87">S1362/AB1362</f>
        <v>9.8897295158977396</v>
      </c>
      <c r="V1362" s="32" t="s">
        <v>316</v>
      </c>
      <c r="X1362" s="32">
        <f t="shared" ref="X1362:X1393" si="88">U1362</f>
        <v>9.8897295158977396</v>
      </c>
      <c r="Y1362" s="32">
        <f>(CPI!$B$112/O1362)*X1362</f>
        <v>12.727978200538985</v>
      </c>
      <c r="Z1362" s="38" t="s">
        <v>262</v>
      </c>
      <c r="AA1362" s="35" t="s">
        <v>1449</v>
      </c>
      <c r="AB1362" s="32">
        <v>40446</v>
      </c>
      <c r="AC1362" s="32" t="s">
        <v>1412</v>
      </c>
      <c r="AH1362" s="32" t="s">
        <v>411</v>
      </c>
      <c r="AJ1362" s="35" t="s">
        <v>2278</v>
      </c>
      <c r="AK1362" s="40" t="s">
        <v>2052</v>
      </c>
      <c r="AL1362" s="32">
        <v>2022</v>
      </c>
      <c r="AM1362" s="32" t="s">
        <v>2053</v>
      </c>
      <c r="AN1362" s="32" t="s">
        <v>2054</v>
      </c>
      <c r="AO1362" s="38" t="s">
        <v>2055</v>
      </c>
      <c r="AP1362" s="35" t="s">
        <v>396</v>
      </c>
    </row>
    <row r="1363" spans="1:42" x14ac:dyDescent="0.2">
      <c r="A1363" s="40">
        <v>141</v>
      </c>
      <c r="B1363" s="40">
        <v>1362</v>
      </c>
      <c r="C1363" s="40" t="s">
        <v>241</v>
      </c>
      <c r="D1363" s="38" t="s">
        <v>240</v>
      </c>
      <c r="E1363" s="32" t="s">
        <v>2183</v>
      </c>
      <c r="F1363" s="32" t="s">
        <v>237</v>
      </c>
      <c r="G1363" s="36" t="s">
        <v>2907</v>
      </c>
      <c r="H1363" s="32" t="s">
        <v>242</v>
      </c>
      <c r="I1363" s="32" t="s">
        <v>243</v>
      </c>
      <c r="J1363" s="32" t="s">
        <v>2029</v>
      </c>
      <c r="K1363" s="32" t="s">
        <v>1513</v>
      </c>
      <c r="L1363" s="32" t="s">
        <v>30</v>
      </c>
      <c r="M1363" s="32" t="s">
        <v>30</v>
      </c>
      <c r="N1363" s="40">
        <v>1986</v>
      </c>
      <c r="O1363" s="32">
        <f>VLOOKUP(Data!N930, CPI!$A$2:$B$112, 2, 0)</f>
        <v>236.73599999999999</v>
      </c>
      <c r="P1363" s="32" t="s">
        <v>132</v>
      </c>
      <c r="Q1363" s="32" t="s">
        <v>239</v>
      </c>
      <c r="R1363" s="32" t="s">
        <v>2031</v>
      </c>
      <c r="S1363" s="32">
        <v>1400000</v>
      </c>
      <c r="T1363" s="32" t="s">
        <v>300</v>
      </c>
      <c r="U1363" s="32">
        <f t="shared" si="87"/>
        <v>34.614053305642088</v>
      </c>
      <c r="V1363" s="32" t="s">
        <v>316</v>
      </c>
      <c r="X1363" s="32">
        <f t="shared" si="88"/>
        <v>34.614053305642088</v>
      </c>
      <c r="Y1363" s="32">
        <f>(CPI!$B$112/O1363)*X1363</f>
        <v>44.547923701886447</v>
      </c>
      <c r="Z1363" s="38" t="s">
        <v>262</v>
      </c>
      <c r="AA1363" s="35" t="s">
        <v>1449</v>
      </c>
      <c r="AB1363" s="32">
        <v>40446</v>
      </c>
      <c r="AC1363" s="32" t="s">
        <v>1412</v>
      </c>
      <c r="AH1363" s="32" t="s">
        <v>411</v>
      </c>
      <c r="AJ1363" s="35" t="s">
        <v>2278</v>
      </c>
      <c r="AK1363" s="40" t="s">
        <v>2052</v>
      </c>
      <c r="AL1363" s="32">
        <v>2022</v>
      </c>
      <c r="AM1363" s="32" t="s">
        <v>2053</v>
      </c>
      <c r="AN1363" s="32" t="s">
        <v>2054</v>
      </c>
      <c r="AO1363" s="38" t="s">
        <v>2055</v>
      </c>
      <c r="AP1363" s="35" t="s">
        <v>396</v>
      </c>
    </row>
    <row r="1364" spans="1:42" x14ac:dyDescent="0.2">
      <c r="A1364" s="40">
        <v>141</v>
      </c>
      <c r="B1364" s="40">
        <v>1363</v>
      </c>
      <c r="C1364" s="40" t="s">
        <v>241</v>
      </c>
      <c r="D1364" s="38" t="s">
        <v>240</v>
      </c>
      <c r="E1364" s="32" t="s">
        <v>2183</v>
      </c>
      <c r="F1364" s="32" t="s">
        <v>126</v>
      </c>
      <c r="G1364" s="54" t="s">
        <v>2909</v>
      </c>
      <c r="H1364" s="32" t="s">
        <v>242</v>
      </c>
      <c r="I1364" s="32" t="s">
        <v>243</v>
      </c>
      <c r="J1364" s="32" t="s">
        <v>2029</v>
      </c>
      <c r="K1364" s="32" t="s">
        <v>1513</v>
      </c>
      <c r="L1364" s="32" t="s">
        <v>30</v>
      </c>
      <c r="M1364" s="32" t="s">
        <v>30</v>
      </c>
      <c r="N1364" s="40">
        <v>1986</v>
      </c>
      <c r="O1364" s="32">
        <f>VLOOKUP(Data!N931, CPI!$A$2:$B$112, 2, 0)</f>
        <v>236.73599999999999</v>
      </c>
      <c r="P1364" s="32" t="s">
        <v>132</v>
      </c>
      <c r="Q1364" s="32" t="s">
        <v>239</v>
      </c>
      <c r="R1364" s="32" t="s">
        <v>2032</v>
      </c>
      <c r="S1364" s="32">
        <v>9700000</v>
      </c>
      <c r="T1364" s="32" t="s">
        <v>300</v>
      </c>
      <c r="U1364" s="32">
        <f t="shared" si="87"/>
        <v>239.82594076052021</v>
      </c>
      <c r="V1364" s="32" t="s">
        <v>316</v>
      </c>
      <c r="X1364" s="32">
        <f t="shared" si="88"/>
        <v>239.82594076052021</v>
      </c>
      <c r="Y1364" s="32">
        <f>(CPI!$B$112/O1364)*X1364</f>
        <v>308.65347136307042</v>
      </c>
      <c r="Z1364" s="38" t="s">
        <v>262</v>
      </c>
      <c r="AA1364" s="35" t="s">
        <v>1449</v>
      </c>
      <c r="AB1364" s="32">
        <v>40446</v>
      </c>
      <c r="AC1364" s="32" t="s">
        <v>1412</v>
      </c>
      <c r="AH1364" s="32" t="s">
        <v>411</v>
      </c>
      <c r="AJ1364" s="35" t="s">
        <v>2278</v>
      </c>
      <c r="AK1364" s="40" t="s">
        <v>2052</v>
      </c>
      <c r="AL1364" s="32">
        <v>2022</v>
      </c>
      <c r="AM1364" s="32" t="s">
        <v>2053</v>
      </c>
      <c r="AN1364" s="32" t="s">
        <v>2054</v>
      </c>
      <c r="AO1364" s="38" t="s">
        <v>2055</v>
      </c>
      <c r="AP1364" s="35" t="s">
        <v>396</v>
      </c>
    </row>
    <row r="1365" spans="1:42" x14ac:dyDescent="0.2">
      <c r="A1365" s="40">
        <v>141</v>
      </c>
      <c r="B1365" s="40">
        <v>1364</v>
      </c>
      <c r="C1365" s="40" t="s">
        <v>241</v>
      </c>
      <c r="D1365" s="38" t="s">
        <v>240</v>
      </c>
      <c r="E1365" s="32" t="s">
        <v>2183</v>
      </c>
      <c r="F1365" s="32" t="s">
        <v>48</v>
      </c>
      <c r="G1365" s="38" t="s">
        <v>2913</v>
      </c>
      <c r="H1365" s="32" t="s">
        <v>242</v>
      </c>
      <c r="I1365" s="32" t="s">
        <v>243</v>
      </c>
      <c r="J1365" s="32" t="s">
        <v>2029</v>
      </c>
      <c r="K1365" s="32" t="s">
        <v>1513</v>
      </c>
      <c r="L1365" s="32" t="s">
        <v>30</v>
      </c>
      <c r="M1365" s="32" t="s">
        <v>30</v>
      </c>
      <c r="N1365" s="40">
        <v>1986</v>
      </c>
      <c r="O1365" s="32">
        <f>VLOOKUP(Data!N932, CPI!$A$2:$B$112, 2, 0)</f>
        <v>236.73599999999999</v>
      </c>
      <c r="P1365" s="32" t="s">
        <v>132</v>
      </c>
      <c r="Q1365" s="32" t="s">
        <v>239</v>
      </c>
      <c r="R1365" s="32" t="s">
        <v>2033</v>
      </c>
      <c r="S1365" s="32">
        <v>1300000</v>
      </c>
      <c r="T1365" s="32" t="s">
        <v>300</v>
      </c>
      <c r="U1365" s="32">
        <f t="shared" si="87"/>
        <v>32.141620926667656</v>
      </c>
      <c r="V1365" s="32" t="s">
        <v>316</v>
      </c>
      <c r="X1365" s="32">
        <f t="shared" si="88"/>
        <v>32.141620926667656</v>
      </c>
      <c r="Y1365" s="32">
        <f>(CPI!$B$112/O1365)*X1365</f>
        <v>41.3659291517517</v>
      </c>
      <c r="Z1365" s="38" t="s">
        <v>262</v>
      </c>
      <c r="AA1365" s="35" t="s">
        <v>1449</v>
      </c>
      <c r="AB1365" s="32">
        <v>40446</v>
      </c>
      <c r="AC1365" s="32" t="s">
        <v>1412</v>
      </c>
      <c r="AH1365" s="32" t="s">
        <v>411</v>
      </c>
      <c r="AJ1365" s="35" t="s">
        <v>2278</v>
      </c>
      <c r="AK1365" s="40" t="s">
        <v>2052</v>
      </c>
      <c r="AL1365" s="32">
        <v>2022</v>
      </c>
      <c r="AM1365" s="32" t="s">
        <v>2053</v>
      </c>
      <c r="AN1365" s="32" t="s">
        <v>2054</v>
      </c>
      <c r="AO1365" s="38" t="s">
        <v>2055</v>
      </c>
      <c r="AP1365" s="35" t="s">
        <v>396</v>
      </c>
    </row>
    <row r="1366" spans="1:42" x14ac:dyDescent="0.2">
      <c r="A1366" s="40">
        <v>141</v>
      </c>
      <c r="B1366" s="40">
        <v>1365</v>
      </c>
      <c r="C1366" s="40" t="s">
        <v>241</v>
      </c>
      <c r="D1366" s="38" t="s">
        <v>240</v>
      </c>
      <c r="E1366" s="32" t="s">
        <v>2183</v>
      </c>
      <c r="F1366" s="32" t="s">
        <v>244</v>
      </c>
      <c r="G1366" s="38" t="s">
        <v>1102</v>
      </c>
      <c r="H1366" s="32" t="s">
        <v>242</v>
      </c>
      <c r="I1366" s="32" t="s">
        <v>243</v>
      </c>
      <c r="J1366" s="32" t="s">
        <v>2029</v>
      </c>
      <c r="K1366" s="32" t="s">
        <v>1513</v>
      </c>
      <c r="L1366" s="32" t="s">
        <v>30</v>
      </c>
      <c r="M1366" s="32" t="s">
        <v>30</v>
      </c>
      <c r="N1366" s="40">
        <v>1986</v>
      </c>
      <c r="O1366" s="32">
        <f>VLOOKUP(Data!N933, CPI!$A$2:$B$112, 2, 0)</f>
        <v>236.73599999999999</v>
      </c>
      <c r="P1366" s="32" t="s">
        <v>132</v>
      </c>
      <c r="Q1366" s="32" t="s">
        <v>239</v>
      </c>
      <c r="R1366" s="32" t="s">
        <v>2034</v>
      </c>
      <c r="S1366" s="32">
        <v>1100000</v>
      </c>
      <c r="T1366" s="32" t="s">
        <v>300</v>
      </c>
      <c r="U1366" s="32">
        <f t="shared" si="87"/>
        <v>27.196756168718785</v>
      </c>
      <c r="V1366" s="32" t="s">
        <v>316</v>
      </c>
      <c r="X1366" s="32">
        <f t="shared" si="88"/>
        <v>27.196756168718785</v>
      </c>
      <c r="Y1366" s="32">
        <f>(CPI!$B$112/O1366)*X1366</f>
        <v>35.001940051482208</v>
      </c>
      <c r="Z1366" s="38" t="s">
        <v>262</v>
      </c>
      <c r="AA1366" s="35" t="s">
        <v>1449</v>
      </c>
      <c r="AB1366" s="32">
        <v>40446</v>
      </c>
      <c r="AC1366" s="32" t="s">
        <v>1412</v>
      </c>
      <c r="AH1366" s="32" t="s">
        <v>411</v>
      </c>
      <c r="AJ1366" s="35" t="s">
        <v>2278</v>
      </c>
      <c r="AK1366" s="40" t="s">
        <v>2052</v>
      </c>
      <c r="AL1366" s="32">
        <v>2022</v>
      </c>
      <c r="AM1366" s="32" t="s">
        <v>2053</v>
      </c>
      <c r="AN1366" s="32" t="s">
        <v>2054</v>
      </c>
      <c r="AO1366" s="38" t="s">
        <v>2055</v>
      </c>
      <c r="AP1366" s="35" t="s">
        <v>396</v>
      </c>
    </row>
    <row r="1367" spans="1:42" x14ac:dyDescent="0.2">
      <c r="A1367" s="40">
        <v>141</v>
      </c>
      <c r="B1367" s="40">
        <v>1366</v>
      </c>
      <c r="C1367" s="40" t="s">
        <v>241</v>
      </c>
      <c r="D1367" s="38" t="s">
        <v>240</v>
      </c>
      <c r="E1367" s="32" t="s">
        <v>2184</v>
      </c>
      <c r="F1367" s="32" t="s">
        <v>110</v>
      </c>
      <c r="G1367" s="54" t="s">
        <v>2928</v>
      </c>
      <c r="H1367" s="32" t="s">
        <v>242</v>
      </c>
      <c r="I1367" s="32" t="s">
        <v>243</v>
      </c>
      <c r="J1367" s="32" t="s">
        <v>2029</v>
      </c>
      <c r="K1367" s="32" t="s">
        <v>1513</v>
      </c>
      <c r="L1367" s="32" t="s">
        <v>30</v>
      </c>
      <c r="M1367" s="32" t="s">
        <v>30</v>
      </c>
      <c r="N1367" s="40">
        <v>1986</v>
      </c>
      <c r="O1367" s="32">
        <f>VLOOKUP(Data!N934, CPI!$A$2:$B$112, 2, 0)</f>
        <v>236.73599999999999</v>
      </c>
      <c r="P1367" s="32" t="s">
        <v>132</v>
      </c>
      <c r="Q1367" s="32" t="s">
        <v>239</v>
      </c>
      <c r="R1367" s="32" t="s">
        <v>2035</v>
      </c>
      <c r="S1367" s="32">
        <v>3100000</v>
      </c>
      <c r="T1367" s="32" t="s">
        <v>300</v>
      </c>
      <c r="U1367" s="32">
        <f t="shared" si="87"/>
        <v>76.645403748207485</v>
      </c>
      <c r="V1367" s="32" t="s">
        <v>316</v>
      </c>
      <c r="X1367" s="32">
        <f t="shared" si="88"/>
        <v>76.645403748207485</v>
      </c>
      <c r="Y1367" s="32">
        <f>(CPI!$B$112/O1367)*X1367</f>
        <v>98.641831054177132</v>
      </c>
      <c r="Z1367" s="38" t="s">
        <v>262</v>
      </c>
      <c r="AA1367" s="35" t="s">
        <v>1449</v>
      </c>
      <c r="AB1367" s="32">
        <v>40446</v>
      </c>
      <c r="AC1367" s="32" t="s">
        <v>1412</v>
      </c>
      <c r="AH1367" s="32" t="s">
        <v>411</v>
      </c>
      <c r="AJ1367" s="35" t="s">
        <v>2278</v>
      </c>
      <c r="AK1367" s="40" t="s">
        <v>2052</v>
      </c>
      <c r="AL1367" s="32">
        <v>2022</v>
      </c>
      <c r="AM1367" s="32" t="s">
        <v>2053</v>
      </c>
      <c r="AN1367" s="32" t="s">
        <v>2054</v>
      </c>
      <c r="AO1367" s="38" t="s">
        <v>2055</v>
      </c>
      <c r="AP1367" s="35" t="s">
        <v>396</v>
      </c>
    </row>
    <row r="1368" spans="1:42" x14ac:dyDescent="0.2">
      <c r="A1368" s="40">
        <v>141</v>
      </c>
      <c r="B1368" s="40">
        <v>1367</v>
      </c>
      <c r="C1368" s="40" t="s">
        <v>241</v>
      </c>
      <c r="D1368" s="38" t="s">
        <v>240</v>
      </c>
      <c r="E1368" s="32" t="s">
        <v>2184</v>
      </c>
      <c r="F1368" s="32" t="s">
        <v>145</v>
      </c>
      <c r="G1368" s="38" t="s">
        <v>146</v>
      </c>
      <c r="H1368" s="32" t="s">
        <v>242</v>
      </c>
      <c r="I1368" s="32" t="s">
        <v>243</v>
      </c>
      <c r="J1368" s="32" t="s">
        <v>2029</v>
      </c>
      <c r="K1368" s="32" t="s">
        <v>1513</v>
      </c>
      <c r="L1368" s="32" t="s">
        <v>30</v>
      </c>
      <c r="M1368" s="32" t="s">
        <v>30</v>
      </c>
      <c r="N1368" s="40">
        <v>1986</v>
      </c>
      <c r="O1368" s="32">
        <f>VLOOKUP(Data!N935, CPI!$A$2:$B$112, 2, 0)</f>
        <v>236.73599999999999</v>
      </c>
      <c r="P1368" s="32" t="s">
        <v>132</v>
      </c>
      <c r="Q1368" s="32" t="s">
        <v>239</v>
      </c>
      <c r="R1368" s="32" t="s">
        <v>2036</v>
      </c>
      <c r="S1368" s="32">
        <v>7700000</v>
      </c>
      <c r="T1368" s="32" t="s">
        <v>300</v>
      </c>
      <c r="U1368" s="32">
        <f t="shared" si="87"/>
        <v>190.37729318103149</v>
      </c>
      <c r="V1368" s="32" t="s">
        <v>316</v>
      </c>
      <c r="X1368" s="32">
        <f t="shared" si="88"/>
        <v>190.37729318103149</v>
      </c>
      <c r="Y1368" s="32">
        <f>(CPI!$B$112/O1368)*X1368</f>
        <v>245.01358036037547</v>
      </c>
      <c r="Z1368" s="38" t="s">
        <v>262</v>
      </c>
      <c r="AA1368" s="35" t="s">
        <v>1449</v>
      </c>
      <c r="AB1368" s="32">
        <v>40446</v>
      </c>
      <c r="AC1368" s="32" t="s">
        <v>1412</v>
      </c>
      <c r="AH1368" s="32" t="s">
        <v>411</v>
      </c>
      <c r="AJ1368" s="35" t="s">
        <v>2278</v>
      </c>
      <c r="AK1368" s="40" t="s">
        <v>2052</v>
      </c>
      <c r="AL1368" s="32">
        <v>2022</v>
      </c>
      <c r="AM1368" s="32" t="s">
        <v>2053</v>
      </c>
      <c r="AN1368" s="32" t="s">
        <v>2054</v>
      </c>
      <c r="AO1368" s="38" t="s">
        <v>2055</v>
      </c>
      <c r="AP1368" s="35" t="s">
        <v>396</v>
      </c>
    </row>
    <row r="1369" spans="1:42" x14ac:dyDescent="0.2">
      <c r="A1369" s="40">
        <v>141</v>
      </c>
      <c r="B1369" s="40">
        <v>1368</v>
      </c>
      <c r="C1369" s="40" t="s">
        <v>241</v>
      </c>
      <c r="D1369" s="38" t="s">
        <v>240</v>
      </c>
      <c r="E1369" s="32" t="s">
        <v>2184</v>
      </c>
      <c r="F1369" s="32" t="s">
        <v>131</v>
      </c>
      <c r="G1369" s="38" t="s">
        <v>2920</v>
      </c>
      <c r="H1369" s="32" t="s">
        <v>242</v>
      </c>
      <c r="I1369" s="32" t="s">
        <v>243</v>
      </c>
      <c r="J1369" s="32" t="s">
        <v>2029</v>
      </c>
      <c r="K1369" s="32" t="s">
        <v>1513</v>
      </c>
      <c r="L1369" s="32" t="s">
        <v>30</v>
      </c>
      <c r="M1369" s="32" t="s">
        <v>30</v>
      </c>
      <c r="N1369" s="40">
        <v>1986</v>
      </c>
      <c r="O1369" s="32">
        <f>VLOOKUP(Data!N936, CPI!$A$2:$B$112, 2, 0)</f>
        <v>236.73599999999999</v>
      </c>
      <c r="P1369" s="32" t="s">
        <v>132</v>
      </c>
      <c r="Q1369" s="32" t="s">
        <v>239</v>
      </c>
      <c r="R1369" s="32" t="s">
        <v>2037</v>
      </c>
      <c r="S1369" s="32">
        <v>6900000</v>
      </c>
      <c r="T1369" s="32" t="s">
        <v>300</v>
      </c>
      <c r="U1369" s="32">
        <f t="shared" si="87"/>
        <v>170.59783414923601</v>
      </c>
      <c r="V1369" s="32" t="s">
        <v>316</v>
      </c>
      <c r="X1369" s="32">
        <f t="shared" si="88"/>
        <v>170.59783414923601</v>
      </c>
      <c r="Y1369" s="32">
        <f>(CPI!$B$112/O1369)*X1369</f>
        <v>219.5576239592975</v>
      </c>
      <c r="Z1369" s="38" t="s">
        <v>262</v>
      </c>
      <c r="AA1369" s="35" t="s">
        <v>1449</v>
      </c>
      <c r="AB1369" s="32">
        <v>40446</v>
      </c>
      <c r="AC1369" s="32" t="s">
        <v>1412</v>
      </c>
      <c r="AH1369" s="32" t="s">
        <v>411</v>
      </c>
      <c r="AJ1369" s="35" t="s">
        <v>2278</v>
      </c>
      <c r="AK1369" s="40" t="s">
        <v>2052</v>
      </c>
      <c r="AL1369" s="32">
        <v>2022</v>
      </c>
      <c r="AM1369" s="32" t="s">
        <v>2053</v>
      </c>
      <c r="AN1369" s="32" t="s">
        <v>2054</v>
      </c>
      <c r="AO1369" s="38" t="s">
        <v>2055</v>
      </c>
      <c r="AP1369" s="35" t="s">
        <v>396</v>
      </c>
    </row>
    <row r="1370" spans="1:42" x14ac:dyDescent="0.2">
      <c r="A1370" s="40">
        <v>141</v>
      </c>
      <c r="B1370" s="40">
        <v>1369</v>
      </c>
      <c r="C1370" s="40" t="s">
        <v>241</v>
      </c>
      <c r="D1370" s="38" t="s">
        <v>240</v>
      </c>
      <c r="E1370" s="32" t="s">
        <v>2184</v>
      </c>
      <c r="F1370" s="59" t="s">
        <v>36</v>
      </c>
      <c r="G1370" s="54" t="s">
        <v>2934</v>
      </c>
      <c r="H1370" s="32" t="s">
        <v>242</v>
      </c>
      <c r="I1370" s="32" t="s">
        <v>243</v>
      </c>
      <c r="J1370" s="32" t="s">
        <v>2029</v>
      </c>
      <c r="K1370" s="32" t="s">
        <v>1513</v>
      </c>
      <c r="L1370" s="32" t="s">
        <v>30</v>
      </c>
      <c r="M1370" s="32" t="s">
        <v>30</v>
      </c>
      <c r="N1370" s="40">
        <v>1986</v>
      </c>
      <c r="O1370" s="32">
        <f>VLOOKUP(Data!N937, CPI!$A$2:$B$112, 2, 0)</f>
        <v>218.05600000000001</v>
      </c>
      <c r="P1370" s="32" t="s">
        <v>132</v>
      </c>
      <c r="Q1370" s="32" t="s">
        <v>239</v>
      </c>
      <c r="R1370" s="32" t="s">
        <v>2038</v>
      </c>
      <c r="S1370" s="32">
        <v>100000</v>
      </c>
      <c r="T1370" s="32" t="s">
        <v>300</v>
      </c>
      <c r="U1370" s="32">
        <f t="shared" si="87"/>
        <v>2.4724323789744349</v>
      </c>
      <c r="V1370" s="32" t="s">
        <v>316</v>
      </c>
      <c r="X1370" s="32">
        <f t="shared" si="88"/>
        <v>2.4724323789744349</v>
      </c>
      <c r="Y1370" s="32">
        <f>(CPI!$B$112/O1370)*X1370</f>
        <v>3.4545835098355431</v>
      </c>
      <c r="Z1370" s="38" t="s">
        <v>262</v>
      </c>
      <c r="AA1370" s="35" t="s">
        <v>1449</v>
      </c>
      <c r="AB1370" s="32">
        <v>40446</v>
      </c>
      <c r="AC1370" s="32" t="s">
        <v>1412</v>
      </c>
      <c r="AH1370" s="32" t="s">
        <v>411</v>
      </c>
      <c r="AJ1370" s="35" t="s">
        <v>2278</v>
      </c>
      <c r="AK1370" s="40" t="s">
        <v>2052</v>
      </c>
      <c r="AL1370" s="32">
        <v>2022</v>
      </c>
      <c r="AM1370" s="32" t="s">
        <v>2053</v>
      </c>
      <c r="AN1370" s="32" t="s">
        <v>2054</v>
      </c>
      <c r="AO1370" s="38" t="s">
        <v>2055</v>
      </c>
      <c r="AP1370" s="35" t="s">
        <v>396</v>
      </c>
    </row>
    <row r="1371" spans="1:42" x14ac:dyDescent="0.2">
      <c r="A1371" s="40">
        <v>141</v>
      </c>
      <c r="B1371" s="40">
        <v>1370</v>
      </c>
      <c r="C1371" s="40" t="s">
        <v>241</v>
      </c>
      <c r="D1371" s="38" t="s">
        <v>240</v>
      </c>
      <c r="E1371" s="32" t="s">
        <v>2184</v>
      </c>
      <c r="F1371" s="32" t="s">
        <v>131</v>
      </c>
      <c r="G1371" s="38" t="s">
        <v>64</v>
      </c>
      <c r="H1371" s="32" t="s">
        <v>242</v>
      </c>
      <c r="I1371" s="32" t="s">
        <v>243</v>
      </c>
      <c r="J1371" s="32" t="s">
        <v>2029</v>
      </c>
      <c r="K1371" s="32" t="s">
        <v>1513</v>
      </c>
      <c r="L1371" s="32" t="s">
        <v>30</v>
      </c>
      <c r="M1371" s="32" t="s">
        <v>30</v>
      </c>
      <c r="N1371" s="40">
        <v>1986</v>
      </c>
      <c r="O1371" s="32">
        <f>VLOOKUP(Data!N938, CPI!$A$2:$B$112, 2, 0)</f>
        <v>214.53700000000001</v>
      </c>
      <c r="P1371" s="32" t="s">
        <v>132</v>
      </c>
      <c r="Q1371" s="32" t="s">
        <v>239</v>
      </c>
      <c r="R1371" s="32" t="s">
        <v>2039</v>
      </c>
      <c r="S1371" s="32">
        <v>20000</v>
      </c>
      <c r="T1371" s="32" t="s">
        <v>300</v>
      </c>
      <c r="U1371" s="32">
        <f t="shared" si="87"/>
        <v>0.49448647579488703</v>
      </c>
      <c r="V1371" s="32" t="s">
        <v>316</v>
      </c>
      <c r="X1371" s="32">
        <f t="shared" si="88"/>
        <v>0.49448647579488703</v>
      </c>
      <c r="Y1371" s="32">
        <f>(CPI!$B$112/O1371)*X1371</f>
        <v>0.70224964628078079</v>
      </c>
      <c r="Z1371" s="38" t="s">
        <v>262</v>
      </c>
      <c r="AA1371" s="35" t="s">
        <v>1449</v>
      </c>
      <c r="AB1371" s="32">
        <v>40446</v>
      </c>
      <c r="AC1371" s="32" t="s">
        <v>1412</v>
      </c>
      <c r="AH1371" s="32" t="s">
        <v>411</v>
      </c>
      <c r="AJ1371" s="35" t="s">
        <v>2278</v>
      </c>
      <c r="AK1371" s="40" t="s">
        <v>2052</v>
      </c>
      <c r="AL1371" s="32">
        <v>2022</v>
      </c>
      <c r="AM1371" s="32" t="s">
        <v>2053</v>
      </c>
      <c r="AN1371" s="32" t="s">
        <v>2054</v>
      </c>
      <c r="AO1371" s="38" t="s">
        <v>2055</v>
      </c>
      <c r="AP1371" s="35" t="s">
        <v>396</v>
      </c>
    </row>
    <row r="1372" spans="1:42" x14ac:dyDescent="0.2">
      <c r="A1372" s="40">
        <v>141</v>
      </c>
      <c r="B1372" s="40">
        <v>1371</v>
      </c>
      <c r="C1372" s="40" t="s">
        <v>241</v>
      </c>
      <c r="D1372" s="38" t="s">
        <v>240</v>
      </c>
      <c r="E1372" s="32" t="s">
        <v>2186</v>
      </c>
      <c r="F1372" s="32" t="s">
        <v>21</v>
      </c>
      <c r="G1372" s="38" t="s">
        <v>163</v>
      </c>
      <c r="H1372" s="32" t="s">
        <v>242</v>
      </c>
      <c r="I1372" s="32" t="s">
        <v>243</v>
      </c>
      <c r="J1372" s="32" t="s">
        <v>2029</v>
      </c>
      <c r="K1372" s="32" t="s">
        <v>1513</v>
      </c>
      <c r="L1372" s="32" t="s">
        <v>30</v>
      </c>
      <c r="M1372" s="32" t="s">
        <v>30</v>
      </c>
      <c r="N1372" s="40">
        <v>1986</v>
      </c>
      <c r="O1372" s="32">
        <f>VLOOKUP(Data!N939, CPI!$A$2:$B$112, 2, 0)</f>
        <v>245.12</v>
      </c>
      <c r="P1372" s="32" t="s">
        <v>132</v>
      </c>
      <c r="Q1372" s="32" t="s">
        <v>239</v>
      </c>
      <c r="R1372" s="32" t="s">
        <v>2040</v>
      </c>
      <c r="S1372" s="32">
        <v>200000</v>
      </c>
      <c r="T1372" s="32" t="s">
        <v>300</v>
      </c>
      <c r="U1372" s="32">
        <f t="shared" si="87"/>
        <v>4.9448647579488698</v>
      </c>
      <c r="V1372" s="32" t="s">
        <v>316</v>
      </c>
      <c r="X1372" s="32">
        <f t="shared" si="88"/>
        <v>4.9448647579488698</v>
      </c>
      <c r="Y1372" s="32">
        <f>(CPI!$B$112/O1372)*X1372</f>
        <v>6.1463174104169314</v>
      </c>
      <c r="Z1372" s="38" t="s">
        <v>262</v>
      </c>
      <c r="AA1372" s="35" t="s">
        <v>1449</v>
      </c>
      <c r="AB1372" s="32">
        <v>40446</v>
      </c>
      <c r="AC1372" s="32" t="s">
        <v>1412</v>
      </c>
      <c r="AH1372" s="32" t="s">
        <v>411</v>
      </c>
      <c r="AJ1372" s="35" t="s">
        <v>2278</v>
      </c>
      <c r="AK1372" s="40" t="s">
        <v>2052</v>
      </c>
      <c r="AL1372" s="32">
        <v>2022</v>
      </c>
      <c r="AM1372" s="32" t="s">
        <v>2053</v>
      </c>
      <c r="AN1372" s="32" t="s">
        <v>2054</v>
      </c>
      <c r="AO1372" s="38" t="s">
        <v>2055</v>
      </c>
      <c r="AP1372" s="35" t="s">
        <v>396</v>
      </c>
    </row>
    <row r="1373" spans="1:42" x14ac:dyDescent="0.2">
      <c r="A1373" s="40">
        <v>141</v>
      </c>
      <c r="B1373" s="40">
        <v>1372</v>
      </c>
      <c r="C1373" s="40" t="s">
        <v>241</v>
      </c>
      <c r="D1373" s="38" t="s">
        <v>240</v>
      </c>
      <c r="E1373" s="32" t="s">
        <v>2184</v>
      </c>
      <c r="F1373" s="32" t="s">
        <v>43</v>
      </c>
      <c r="G1373" s="38" t="s">
        <v>44</v>
      </c>
      <c r="H1373" s="32" t="s">
        <v>242</v>
      </c>
      <c r="I1373" s="32" t="s">
        <v>243</v>
      </c>
      <c r="J1373" s="32" t="s">
        <v>2029</v>
      </c>
      <c r="K1373" s="32" t="s">
        <v>1513</v>
      </c>
      <c r="L1373" s="32" t="s">
        <v>30</v>
      </c>
      <c r="M1373" s="32" t="s">
        <v>30</v>
      </c>
      <c r="N1373" s="40">
        <v>1986</v>
      </c>
      <c r="O1373" s="32">
        <f>VLOOKUP(Data!N940, CPI!$A$2:$B$112, 2, 0)</f>
        <v>245.12</v>
      </c>
      <c r="P1373" s="32" t="s">
        <v>132</v>
      </c>
      <c r="Q1373" s="32" t="s">
        <v>239</v>
      </c>
      <c r="R1373" s="32" t="s">
        <v>2041</v>
      </c>
      <c r="S1373" s="32">
        <v>28500000</v>
      </c>
      <c r="T1373" s="32" t="s">
        <v>300</v>
      </c>
      <c r="U1373" s="32">
        <f t="shared" si="87"/>
        <v>704.64322800771401</v>
      </c>
      <c r="V1373" s="32" t="s">
        <v>316</v>
      </c>
      <c r="X1373" s="32">
        <f t="shared" si="88"/>
        <v>704.64322800771401</v>
      </c>
      <c r="Y1373" s="32">
        <f>(CPI!$B$112/O1373)*X1373</f>
        <v>875.85023098441286</v>
      </c>
      <c r="Z1373" s="38" t="s">
        <v>262</v>
      </c>
      <c r="AA1373" s="35" t="s">
        <v>1449</v>
      </c>
      <c r="AB1373" s="32">
        <v>40446</v>
      </c>
      <c r="AC1373" s="32" t="s">
        <v>1412</v>
      </c>
      <c r="AH1373" s="32" t="s">
        <v>411</v>
      </c>
      <c r="AJ1373" s="35" t="s">
        <v>2278</v>
      </c>
      <c r="AK1373" s="40" t="s">
        <v>2052</v>
      </c>
      <c r="AL1373" s="32">
        <v>2022</v>
      </c>
      <c r="AM1373" s="32" t="s">
        <v>2053</v>
      </c>
      <c r="AN1373" s="32" t="s">
        <v>2054</v>
      </c>
      <c r="AO1373" s="38" t="s">
        <v>2055</v>
      </c>
      <c r="AP1373" s="35" t="s">
        <v>396</v>
      </c>
    </row>
    <row r="1374" spans="1:42" x14ac:dyDescent="0.2">
      <c r="A1374" s="40">
        <v>141</v>
      </c>
      <c r="B1374" s="40">
        <v>1373</v>
      </c>
      <c r="C1374" s="40" t="s">
        <v>241</v>
      </c>
      <c r="D1374" s="38" t="s">
        <v>240</v>
      </c>
      <c r="E1374" s="32" t="s">
        <v>2184</v>
      </c>
      <c r="F1374" s="32" t="s">
        <v>47</v>
      </c>
      <c r="G1374" s="54" t="s">
        <v>2932</v>
      </c>
      <c r="H1374" s="32" t="s">
        <v>242</v>
      </c>
      <c r="I1374" s="32" t="s">
        <v>243</v>
      </c>
      <c r="J1374" s="32" t="s">
        <v>2029</v>
      </c>
      <c r="K1374" s="32" t="s">
        <v>1513</v>
      </c>
      <c r="L1374" s="32" t="s">
        <v>30</v>
      </c>
      <c r="M1374" s="32" t="s">
        <v>30</v>
      </c>
      <c r="N1374" s="40">
        <v>1986</v>
      </c>
      <c r="O1374" s="32">
        <f>VLOOKUP(Data!N941, CPI!$A$2:$B$112, 2, 0)</f>
        <v>245.12</v>
      </c>
      <c r="P1374" s="32" t="s">
        <v>132</v>
      </c>
      <c r="Q1374" s="32" t="s">
        <v>239</v>
      </c>
      <c r="R1374" s="32" t="s">
        <v>2042</v>
      </c>
      <c r="S1374" s="32">
        <v>130000</v>
      </c>
      <c r="T1374" s="32" t="s">
        <v>300</v>
      </c>
      <c r="U1374" s="32">
        <f t="shared" si="87"/>
        <v>3.2141620926667658</v>
      </c>
      <c r="V1374" s="32" t="s">
        <v>316</v>
      </c>
      <c r="X1374" s="32">
        <f t="shared" si="88"/>
        <v>3.2141620926667658</v>
      </c>
      <c r="Y1374" s="32">
        <f>(CPI!$B$112/O1374)*X1374</f>
        <v>3.9951063167710061</v>
      </c>
      <c r="Z1374" s="38" t="s">
        <v>262</v>
      </c>
      <c r="AA1374" s="35" t="s">
        <v>1449</v>
      </c>
      <c r="AB1374" s="32">
        <v>40446</v>
      </c>
      <c r="AC1374" s="32" t="s">
        <v>1412</v>
      </c>
      <c r="AH1374" s="32" t="s">
        <v>411</v>
      </c>
      <c r="AJ1374" s="35" t="s">
        <v>2278</v>
      </c>
      <c r="AK1374" s="40" t="s">
        <v>2052</v>
      </c>
      <c r="AL1374" s="32">
        <v>2022</v>
      </c>
      <c r="AM1374" s="32" t="s">
        <v>2053</v>
      </c>
      <c r="AN1374" s="32" t="s">
        <v>2054</v>
      </c>
      <c r="AO1374" s="38" t="s">
        <v>2055</v>
      </c>
      <c r="AP1374" s="35" t="s">
        <v>396</v>
      </c>
    </row>
    <row r="1375" spans="1:42" x14ac:dyDescent="0.2">
      <c r="A1375" s="40">
        <v>141</v>
      </c>
      <c r="B1375" s="40">
        <v>1374</v>
      </c>
      <c r="C1375" s="40" t="s">
        <v>241</v>
      </c>
      <c r="D1375" s="38" t="s">
        <v>240</v>
      </c>
      <c r="E1375" s="32" t="s">
        <v>2184</v>
      </c>
      <c r="F1375" s="32" t="s">
        <v>43</v>
      </c>
      <c r="G1375" s="38" t="s">
        <v>46</v>
      </c>
      <c r="H1375" s="32" t="s">
        <v>242</v>
      </c>
      <c r="I1375" s="32" t="s">
        <v>243</v>
      </c>
      <c r="J1375" s="32" t="s">
        <v>2029</v>
      </c>
      <c r="K1375" s="32" t="s">
        <v>1513</v>
      </c>
      <c r="L1375" s="32" t="s">
        <v>30</v>
      </c>
      <c r="M1375" s="32" t="s">
        <v>30</v>
      </c>
      <c r="N1375" s="40">
        <v>1986</v>
      </c>
      <c r="O1375" s="32">
        <f>VLOOKUP(Data!N942, CPI!$A$2:$B$112, 2, 0)</f>
        <v>245.12</v>
      </c>
      <c r="P1375" s="32" t="s">
        <v>132</v>
      </c>
      <c r="Q1375" s="32" t="s">
        <v>239</v>
      </c>
      <c r="R1375" s="32" t="s">
        <v>2043</v>
      </c>
      <c r="S1375" s="32">
        <v>300000</v>
      </c>
      <c r="T1375" s="32" t="s">
        <v>300</v>
      </c>
      <c r="U1375" s="32">
        <f t="shared" si="87"/>
        <v>7.4172971369233052</v>
      </c>
      <c r="V1375" s="32" t="s">
        <v>316</v>
      </c>
      <c r="X1375" s="32">
        <f t="shared" si="88"/>
        <v>7.4172971369233052</v>
      </c>
      <c r="Y1375" s="32">
        <f>(CPI!$B$112/O1375)*X1375</f>
        <v>9.2194761156253975</v>
      </c>
      <c r="Z1375" s="38" t="s">
        <v>262</v>
      </c>
      <c r="AA1375" s="35" t="s">
        <v>1449</v>
      </c>
      <c r="AB1375" s="32">
        <v>40446</v>
      </c>
      <c r="AC1375" s="32" t="s">
        <v>1412</v>
      </c>
      <c r="AH1375" s="32" t="s">
        <v>411</v>
      </c>
      <c r="AJ1375" s="35" t="s">
        <v>2278</v>
      </c>
      <c r="AK1375" s="40" t="s">
        <v>2052</v>
      </c>
      <c r="AL1375" s="32">
        <v>2022</v>
      </c>
      <c r="AM1375" s="32" t="s">
        <v>2053</v>
      </c>
      <c r="AN1375" s="32" t="s">
        <v>2054</v>
      </c>
      <c r="AO1375" s="38" t="s">
        <v>2055</v>
      </c>
      <c r="AP1375" s="35" t="s">
        <v>396</v>
      </c>
    </row>
    <row r="1376" spans="1:42" x14ac:dyDescent="0.2">
      <c r="A1376" s="40">
        <v>141</v>
      </c>
      <c r="B1376" s="40">
        <v>1375</v>
      </c>
      <c r="C1376" s="40" t="s">
        <v>241</v>
      </c>
      <c r="D1376" s="38" t="s">
        <v>240</v>
      </c>
      <c r="E1376" s="32" t="s">
        <v>2887</v>
      </c>
      <c r="F1376" s="32" t="s">
        <v>121</v>
      </c>
      <c r="G1376" s="38" t="s">
        <v>121</v>
      </c>
      <c r="H1376" s="32" t="s">
        <v>242</v>
      </c>
      <c r="I1376" s="32" t="s">
        <v>243</v>
      </c>
      <c r="J1376" s="32" t="s">
        <v>2029</v>
      </c>
      <c r="K1376" s="32" t="s">
        <v>1513</v>
      </c>
      <c r="L1376" s="32" t="s">
        <v>30</v>
      </c>
      <c r="M1376" s="32" t="s">
        <v>30</v>
      </c>
      <c r="N1376" s="40">
        <v>1986</v>
      </c>
      <c r="O1376" s="32">
        <f>VLOOKUP(Data!N943, CPI!$A$2:$B$112, 2, 0)</f>
        <v>245.12</v>
      </c>
      <c r="P1376" s="32" t="s">
        <v>132</v>
      </c>
      <c r="Q1376" s="32" t="s">
        <v>239</v>
      </c>
      <c r="R1376" s="32" t="s">
        <v>2044</v>
      </c>
      <c r="S1376" s="32">
        <v>3500000</v>
      </c>
      <c r="T1376" s="32" t="s">
        <v>300</v>
      </c>
      <c r="U1376" s="32">
        <f t="shared" si="87"/>
        <v>86.535133264105227</v>
      </c>
      <c r="V1376" s="32" t="s">
        <v>316</v>
      </c>
      <c r="X1376" s="32">
        <f t="shared" si="88"/>
        <v>86.535133264105227</v>
      </c>
      <c r="Y1376" s="32">
        <f>(CPI!$B$112/O1376)*X1376</f>
        <v>107.56055468229631</v>
      </c>
      <c r="Z1376" s="38" t="s">
        <v>262</v>
      </c>
      <c r="AA1376" s="35" t="s">
        <v>1449</v>
      </c>
      <c r="AB1376" s="32">
        <v>40446</v>
      </c>
      <c r="AC1376" s="32" t="s">
        <v>1412</v>
      </c>
      <c r="AH1376" s="32" t="s">
        <v>411</v>
      </c>
      <c r="AJ1376" s="35" t="s">
        <v>2278</v>
      </c>
      <c r="AK1376" s="40" t="s">
        <v>2052</v>
      </c>
      <c r="AL1376" s="32">
        <v>2022</v>
      </c>
      <c r="AM1376" s="32" t="s">
        <v>2053</v>
      </c>
      <c r="AN1376" s="32" t="s">
        <v>2054</v>
      </c>
      <c r="AO1376" s="38" t="s">
        <v>2055</v>
      </c>
      <c r="AP1376" s="35" t="s">
        <v>396</v>
      </c>
    </row>
    <row r="1377" spans="1:42" x14ac:dyDescent="0.2">
      <c r="A1377" s="40">
        <v>141</v>
      </c>
      <c r="B1377" s="40">
        <v>1376</v>
      </c>
      <c r="C1377" s="40" t="s">
        <v>241</v>
      </c>
      <c r="D1377" s="38" t="s">
        <v>240</v>
      </c>
      <c r="E1377" s="32" t="s">
        <v>2887</v>
      </c>
      <c r="F1377" s="32" t="s">
        <v>10</v>
      </c>
      <c r="G1377" s="38" t="s">
        <v>19</v>
      </c>
      <c r="H1377" s="32" t="s">
        <v>242</v>
      </c>
      <c r="I1377" s="32" t="s">
        <v>243</v>
      </c>
      <c r="J1377" s="32" t="s">
        <v>2029</v>
      </c>
      <c r="K1377" s="32" t="s">
        <v>1513</v>
      </c>
      <c r="L1377" s="32" t="s">
        <v>30</v>
      </c>
      <c r="M1377" s="32" t="s">
        <v>30</v>
      </c>
      <c r="N1377" s="40">
        <v>1986</v>
      </c>
      <c r="O1377" s="32">
        <f>VLOOKUP(Data!N944, CPI!$A$2:$B$112, 2, 0)</f>
        <v>245.12</v>
      </c>
      <c r="P1377" s="32" t="s">
        <v>132</v>
      </c>
      <c r="Q1377" s="32" t="s">
        <v>239</v>
      </c>
      <c r="R1377" s="32" t="s">
        <v>2045</v>
      </c>
      <c r="S1377" s="32">
        <v>100000</v>
      </c>
      <c r="T1377" s="32" t="s">
        <v>300</v>
      </c>
      <c r="U1377" s="32">
        <f t="shared" si="87"/>
        <v>2.4724323789744349</v>
      </c>
      <c r="V1377" s="32" t="s">
        <v>316</v>
      </c>
      <c r="X1377" s="32">
        <f t="shared" si="88"/>
        <v>2.4724323789744349</v>
      </c>
      <c r="Y1377" s="32">
        <f>(CPI!$B$112/O1377)*X1377</f>
        <v>3.0731587052084657</v>
      </c>
      <c r="Z1377" s="38" t="s">
        <v>262</v>
      </c>
      <c r="AA1377" s="35" t="s">
        <v>1449</v>
      </c>
      <c r="AB1377" s="32">
        <v>40446</v>
      </c>
      <c r="AC1377" s="32" t="s">
        <v>1412</v>
      </c>
      <c r="AH1377" s="32" t="s">
        <v>411</v>
      </c>
      <c r="AJ1377" s="35" t="s">
        <v>2278</v>
      </c>
      <c r="AK1377" s="40" t="s">
        <v>2052</v>
      </c>
      <c r="AL1377" s="32">
        <v>2022</v>
      </c>
      <c r="AM1377" s="32" t="s">
        <v>2053</v>
      </c>
      <c r="AN1377" s="32" t="s">
        <v>2054</v>
      </c>
      <c r="AO1377" s="38" t="s">
        <v>2055</v>
      </c>
      <c r="AP1377" s="35" t="s">
        <v>396</v>
      </c>
    </row>
    <row r="1378" spans="1:42" x14ac:dyDescent="0.2">
      <c r="A1378" s="40">
        <v>141</v>
      </c>
      <c r="B1378" s="40">
        <v>1377</v>
      </c>
      <c r="C1378" s="40" t="s">
        <v>241</v>
      </c>
      <c r="D1378" s="38" t="s">
        <v>240</v>
      </c>
      <c r="E1378" s="32" t="s">
        <v>2186</v>
      </c>
      <c r="F1378" s="32" t="s">
        <v>29</v>
      </c>
      <c r="G1378" s="38" t="s">
        <v>29</v>
      </c>
      <c r="H1378" s="32" t="s">
        <v>242</v>
      </c>
      <c r="I1378" s="32" t="s">
        <v>243</v>
      </c>
      <c r="J1378" s="32" t="s">
        <v>2029</v>
      </c>
      <c r="K1378" s="32" t="s">
        <v>1513</v>
      </c>
      <c r="L1378" s="32" t="s">
        <v>30</v>
      </c>
      <c r="M1378" s="32" t="s">
        <v>30</v>
      </c>
      <c r="N1378" s="40">
        <v>1986</v>
      </c>
      <c r="O1378" s="32">
        <f>VLOOKUP(Data!N945, CPI!$A$2:$B$112, 2, 0)</f>
        <v>245.12</v>
      </c>
      <c r="P1378" s="32" t="s">
        <v>132</v>
      </c>
      <c r="Q1378" s="32" t="s">
        <v>239</v>
      </c>
      <c r="R1378" s="32" t="s">
        <v>2046</v>
      </c>
      <c r="S1378" s="32">
        <v>64400000</v>
      </c>
      <c r="T1378" s="32" t="s">
        <v>300</v>
      </c>
      <c r="U1378" s="32">
        <f t="shared" si="87"/>
        <v>1592.2464520595361</v>
      </c>
      <c r="V1378" s="32" t="s">
        <v>316</v>
      </c>
      <c r="X1378" s="32">
        <f t="shared" si="88"/>
        <v>1592.2464520595361</v>
      </c>
      <c r="Y1378" s="32">
        <f>(CPI!$B$112/O1378)*X1378</f>
        <v>1979.1142061542521</v>
      </c>
      <c r="Z1378" s="38" t="s">
        <v>262</v>
      </c>
      <c r="AA1378" s="35" t="s">
        <v>1449</v>
      </c>
      <c r="AB1378" s="32">
        <v>40446</v>
      </c>
      <c r="AC1378" s="32" t="s">
        <v>1412</v>
      </c>
      <c r="AH1378" s="32" t="s">
        <v>411</v>
      </c>
      <c r="AJ1378" s="35" t="s">
        <v>2278</v>
      </c>
      <c r="AK1378" s="40" t="s">
        <v>2052</v>
      </c>
      <c r="AL1378" s="32">
        <v>2022</v>
      </c>
      <c r="AM1378" s="32" t="s">
        <v>2053</v>
      </c>
      <c r="AN1378" s="32" t="s">
        <v>2054</v>
      </c>
      <c r="AO1378" s="38" t="s">
        <v>2055</v>
      </c>
      <c r="AP1378" s="35" t="s">
        <v>396</v>
      </c>
    </row>
    <row r="1379" spans="1:42" x14ac:dyDescent="0.2">
      <c r="A1379" s="40">
        <v>141</v>
      </c>
      <c r="B1379" s="40">
        <v>1378</v>
      </c>
      <c r="C1379" s="40" t="s">
        <v>241</v>
      </c>
      <c r="D1379" s="38" t="s">
        <v>240</v>
      </c>
      <c r="E1379" s="32" t="s">
        <v>2183</v>
      </c>
      <c r="F1379" s="32" t="s">
        <v>244</v>
      </c>
      <c r="G1379" s="38" t="s">
        <v>2908</v>
      </c>
      <c r="H1379" s="32" t="s">
        <v>242</v>
      </c>
      <c r="I1379" s="32" t="s">
        <v>243</v>
      </c>
      <c r="J1379" s="32" t="s">
        <v>2029</v>
      </c>
      <c r="K1379" s="32" t="s">
        <v>1513</v>
      </c>
      <c r="L1379" s="32" t="s">
        <v>30</v>
      </c>
      <c r="M1379" s="32" t="s">
        <v>30</v>
      </c>
      <c r="N1379" s="40">
        <v>1998</v>
      </c>
      <c r="O1379" s="32">
        <f>VLOOKUP(Data!N946, CPI!$A$2:$B$112, 2, 0)</f>
        <v>245.12</v>
      </c>
      <c r="P1379" s="32" t="s">
        <v>132</v>
      </c>
      <c r="Q1379" s="32" t="s">
        <v>239</v>
      </c>
      <c r="R1379" s="32" t="s">
        <v>2030</v>
      </c>
      <c r="S1379" s="32">
        <v>500000</v>
      </c>
      <c r="T1379" s="32" t="s">
        <v>300</v>
      </c>
      <c r="U1379" s="32">
        <f t="shared" si="87"/>
        <v>12.362161894872175</v>
      </c>
      <c r="V1379" s="32" t="s">
        <v>316</v>
      </c>
      <c r="X1379" s="32">
        <f t="shared" si="88"/>
        <v>12.362161894872175</v>
      </c>
      <c r="Y1379" s="32">
        <f>(CPI!$B$112/O1379)*X1379</f>
        <v>15.36579352604233</v>
      </c>
      <c r="Z1379" s="38" t="s">
        <v>262</v>
      </c>
      <c r="AA1379" s="35" t="s">
        <v>1449</v>
      </c>
      <c r="AB1379" s="32">
        <v>40446</v>
      </c>
      <c r="AC1379" s="32" t="s">
        <v>1412</v>
      </c>
      <c r="AH1379" s="32" t="s">
        <v>411</v>
      </c>
      <c r="AJ1379" s="35" t="s">
        <v>2278</v>
      </c>
      <c r="AK1379" s="40" t="s">
        <v>2052</v>
      </c>
      <c r="AL1379" s="32">
        <v>2022</v>
      </c>
      <c r="AM1379" s="32" t="s">
        <v>2053</v>
      </c>
      <c r="AN1379" s="32" t="s">
        <v>2054</v>
      </c>
      <c r="AO1379" s="38" t="s">
        <v>2055</v>
      </c>
      <c r="AP1379" s="35" t="s">
        <v>396</v>
      </c>
    </row>
    <row r="1380" spans="1:42" x14ac:dyDescent="0.2">
      <c r="A1380" s="40">
        <v>141</v>
      </c>
      <c r="B1380" s="40">
        <v>1379</v>
      </c>
      <c r="C1380" s="40" t="s">
        <v>241</v>
      </c>
      <c r="D1380" s="38" t="s">
        <v>240</v>
      </c>
      <c r="E1380" s="32" t="s">
        <v>2183</v>
      </c>
      <c r="F1380" s="32" t="s">
        <v>237</v>
      </c>
      <c r="G1380" s="36" t="s">
        <v>2907</v>
      </c>
      <c r="H1380" s="32" t="s">
        <v>242</v>
      </c>
      <c r="I1380" s="32" t="s">
        <v>243</v>
      </c>
      <c r="J1380" s="32" t="s">
        <v>2029</v>
      </c>
      <c r="K1380" s="32" t="s">
        <v>1513</v>
      </c>
      <c r="L1380" s="32" t="s">
        <v>30</v>
      </c>
      <c r="M1380" s="32" t="s">
        <v>30</v>
      </c>
      <c r="N1380" s="40">
        <v>1998</v>
      </c>
      <c r="O1380" s="32">
        <f>VLOOKUP(Data!N947, CPI!$A$2:$B$112, 2, 0)</f>
        <v>245.12</v>
      </c>
      <c r="P1380" s="32" t="s">
        <v>132</v>
      </c>
      <c r="Q1380" s="32" t="s">
        <v>239</v>
      </c>
      <c r="R1380" s="32" t="s">
        <v>2031</v>
      </c>
      <c r="S1380" s="32">
        <v>1300000</v>
      </c>
      <c r="T1380" s="32" t="s">
        <v>300</v>
      </c>
      <c r="U1380" s="32">
        <f t="shared" si="87"/>
        <v>32.141620926667656</v>
      </c>
      <c r="V1380" s="32" t="s">
        <v>316</v>
      </c>
      <c r="X1380" s="32">
        <f t="shared" si="88"/>
        <v>32.141620926667656</v>
      </c>
      <c r="Y1380" s="32">
        <f>(CPI!$B$112/O1380)*X1380</f>
        <v>39.95106316771006</v>
      </c>
      <c r="Z1380" s="38" t="s">
        <v>262</v>
      </c>
      <c r="AA1380" s="35" t="s">
        <v>1449</v>
      </c>
      <c r="AB1380" s="32">
        <v>40446</v>
      </c>
      <c r="AC1380" s="32" t="s">
        <v>1412</v>
      </c>
      <c r="AH1380" s="32" t="s">
        <v>411</v>
      </c>
      <c r="AJ1380" s="35" t="s">
        <v>2278</v>
      </c>
      <c r="AK1380" s="40" t="s">
        <v>2052</v>
      </c>
      <c r="AL1380" s="32">
        <v>2022</v>
      </c>
      <c r="AM1380" s="32" t="s">
        <v>2053</v>
      </c>
      <c r="AN1380" s="32" t="s">
        <v>2054</v>
      </c>
      <c r="AO1380" s="38" t="s">
        <v>2055</v>
      </c>
      <c r="AP1380" s="35" t="s">
        <v>396</v>
      </c>
    </row>
    <row r="1381" spans="1:42" x14ac:dyDescent="0.2">
      <c r="A1381" s="40">
        <v>141</v>
      </c>
      <c r="B1381" s="40">
        <v>1380</v>
      </c>
      <c r="C1381" s="40" t="s">
        <v>241</v>
      </c>
      <c r="D1381" s="38" t="s">
        <v>240</v>
      </c>
      <c r="E1381" s="32" t="s">
        <v>2183</v>
      </c>
      <c r="F1381" s="32" t="s">
        <v>126</v>
      </c>
      <c r="G1381" s="54" t="s">
        <v>2909</v>
      </c>
      <c r="H1381" s="32" t="s">
        <v>242</v>
      </c>
      <c r="I1381" s="32" t="s">
        <v>243</v>
      </c>
      <c r="J1381" s="32" t="s">
        <v>2029</v>
      </c>
      <c r="K1381" s="32" t="s">
        <v>1513</v>
      </c>
      <c r="L1381" s="32" t="s">
        <v>30</v>
      </c>
      <c r="M1381" s="32" t="s">
        <v>30</v>
      </c>
      <c r="N1381" s="40">
        <v>1998</v>
      </c>
      <c r="O1381" s="32">
        <f>VLOOKUP(Data!N948, CPI!$A$2:$B$112, 2, 0)</f>
        <v>245.12</v>
      </c>
      <c r="P1381" s="32" t="s">
        <v>132</v>
      </c>
      <c r="Q1381" s="32" t="s">
        <v>239</v>
      </c>
      <c r="R1381" s="32" t="s">
        <v>2032</v>
      </c>
      <c r="S1381" s="32">
        <v>9600000</v>
      </c>
      <c r="T1381" s="32" t="s">
        <v>300</v>
      </c>
      <c r="U1381" s="32">
        <f t="shared" si="87"/>
        <v>237.35350838154577</v>
      </c>
      <c r="V1381" s="32" t="s">
        <v>316</v>
      </c>
      <c r="X1381" s="32">
        <f t="shared" si="88"/>
        <v>237.35350838154577</v>
      </c>
      <c r="Y1381" s="32">
        <f>(CPI!$B$112/O1381)*X1381</f>
        <v>295.02323570001272</v>
      </c>
      <c r="Z1381" s="38" t="s">
        <v>262</v>
      </c>
      <c r="AA1381" s="35" t="s">
        <v>1449</v>
      </c>
      <c r="AB1381" s="32">
        <v>40446</v>
      </c>
      <c r="AC1381" s="32" t="s">
        <v>1412</v>
      </c>
      <c r="AH1381" s="32" t="s">
        <v>411</v>
      </c>
      <c r="AJ1381" s="35" t="s">
        <v>2278</v>
      </c>
      <c r="AK1381" s="40" t="s">
        <v>2052</v>
      </c>
      <c r="AL1381" s="32">
        <v>2022</v>
      </c>
      <c r="AM1381" s="32" t="s">
        <v>2053</v>
      </c>
      <c r="AN1381" s="32" t="s">
        <v>2054</v>
      </c>
      <c r="AO1381" s="38" t="s">
        <v>2055</v>
      </c>
      <c r="AP1381" s="35" t="s">
        <v>396</v>
      </c>
    </row>
    <row r="1382" spans="1:42" x14ac:dyDescent="0.2">
      <c r="A1382" s="40">
        <v>141</v>
      </c>
      <c r="B1382" s="40">
        <v>1381</v>
      </c>
      <c r="C1382" s="40" t="s">
        <v>241</v>
      </c>
      <c r="D1382" s="38" t="s">
        <v>240</v>
      </c>
      <c r="E1382" s="32" t="s">
        <v>2183</v>
      </c>
      <c r="F1382" s="32" t="s">
        <v>48</v>
      </c>
      <c r="G1382" s="38" t="s">
        <v>2913</v>
      </c>
      <c r="H1382" s="32" t="s">
        <v>242</v>
      </c>
      <c r="I1382" s="32" t="s">
        <v>243</v>
      </c>
      <c r="J1382" s="32" t="s">
        <v>2029</v>
      </c>
      <c r="K1382" s="32" t="s">
        <v>1513</v>
      </c>
      <c r="L1382" s="32" t="s">
        <v>30</v>
      </c>
      <c r="M1382" s="32" t="s">
        <v>30</v>
      </c>
      <c r="N1382" s="40">
        <v>1998</v>
      </c>
      <c r="O1382" s="32">
        <f>VLOOKUP(Data!N949, CPI!$A$2:$B$112, 2, 0)</f>
        <v>245.12</v>
      </c>
      <c r="P1382" s="32" t="s">
        <v>132</v>
      </c>
      <c r="Q1382" s="32" t="s">
        <v>239</v>
      </c>
      <c r="R1382" s="32" t="s">
        <v>2033</v>
      </c>
      <c r="S1382" s="32">
        <v>1300000</v>
      </c>
      <c r="T1382" s="32" t="s">
        <v>300</v>
      </c>
      <c r="U1382" s="32">
        <f t="shared" si="87"/>
        <v>32.141620926667656</v>
      </c>
      <c r="V1382" s="32" t="s">
        <v>316</v>
      </c>
      <c r="X1382" s="32">
        <f t="shared" si="88"/>
        <v>32.141620926667656</v>
      </c>
      <c r="Y1382" s="32">
        <f>(CPI!$B$112/O1382)*X1382</f>
        <v>39.95106316771006</v>
      </c>
      <c r="Z1382" s="38" t="s">
        <v>262</v>
      </c>
      <c r="AA1382" s="35" t="s">
        <v>1449</v>
      </c>
      <c r="AB1382" s="32">
        <v>40446</v>
      </c>
      <c r="AC1382" s="32" t="s">
        <v>1412</v>
      </c>
      <c r="AH1382" s="32" t="s">
        <v>411</v>
      </c>
      <c r="AJ1382" s="35" t="s">
        <v>2278</v>
      </c>
      <c r="AK1382" s="40" t="s">
        <v>2052</v>
      </c>
      <c r="AL1382" s="32">
        <v>2022</v>
      </c>
      <c r="AM1382" s="32" t="s">
        <v>2053</v>
      </c>
      <c r="AN1382" s="32" t="s">
        <v>2054</v>
      </c>
      <c r="AO1382" s="38" t="s">
        <v>2055</v>
      </c>
      <c r="AP1382" s="35" t="s">
        <v>396</v>
      </c>
    </row>
    <row r="1383" spans="1:42" x14ac:dyDescent="0.2">
      <c r="A1383" s="40">
        <v>141</v>
      </c>
      <c r="B1383" s="40">
        <v>1382</v>
      </c>
      <c r="C1383" s="40" t="s">
        <v>241</v>
      </c>
      <c r="D1383" s="38" t="s">
        <v>240</v>
      </c>
      <c r="E1383" s="32" t="s">
        <v>2183</v>
      </c>
      <c r="F1383" s="32" t="s">
        <v>244</v>
      </c>
      <c r="G1383" s="38" t="s">
        <v>1102</v>
      </c>
      <c r="H1383" s="32" t="s">
        <v>242</v>
      </c>
      <c r="I1383" s="32" t="s">
        <v>243</v>
      </c>
      <c r="J1383" s="32" t="s">
        <v>2029</v>
      </c>
      <c r="K1383" s="32" t="s">
        <v>1513</v>
      </c>
      <c r="L1383" s="32" t="s">
        <v>30</v>
      </c>
      <c r="M1383" s="32" t="s">
        <v>30</v>
      </c>
      <c r="N1383" s="40">
        <v>1998</v>
      </c>
      <c r="O1383" s="32">
        <f>VLOOKUP(Data!N950, CPI!$A$2:$B$112, 2, 0)</f>
        <v>245.12</v>
      </c>
      <c r="P1383" s="32" t="s">
        <v>132</v>
      </c>
      <c r="Q1383" s="32" t="s">
        <v>239</v>
      </c>
      <c r="R1383" s="32" t="s">
        <v>2034</v>
      </c>
      <c r="S1383" s="32">
        <v>1200000</v>
      </c>
      <c r="T1383" s="32" t="s">
        <v>300</v>
      </c>
      <c r="U1383" s="32">
        <f t="shared" si="87"/>
        <v>29.669188547693221</v>
      </c>
      <c r="V1383" s="32" t="s">
        <v>316</v>
      </c>
      <c r="X1383" s="32">
        <f t="shared" si="88"/>
        <v>29.669188547693221</v>
      </c>
      <c r="Y1383" s="32">
        <f>(CPI!$B$112/O1383)*X1383</f>
        <v>36.87790446250159</v>
      </c>
      <c r="Z1383" s="38" t="s">
        <v>262</v>
      </c>
      <c r="AA1383" s="35" t="s">
        <v>1449</v>
      </c>
      <c r="AB1383" s="32">
        <v>40446</v>
      </c>
      <c r="AC1383" s="32" t="s">
        <v>1412</v>
      </c>
      <c r="AH1383" s="32" t="s">
        <v>411</v>
      </c>
      <c r="AJ1383" s="35" t="s">
        <v>2278</v>
      </c>
      <c r="AK1383" s="40" t="s">
        <v>2052</v>
      </c>
      <c r="AL1383" s="32">
        <v>2022</v>
      </c>
      <c r="AM1383" s="32" t="s">
        <v>2053</v>
      </c>
      <c r="AN1383" s="32" t="s">
        <v>2054</v>
      </c>
      <c r="AO1383" s="38" t="s">
        <v>2055</v>
      </c>
      <c r="AP1383" s="35" t="s">
        <v>396</v>
      </c>
    </row>
    <row r="1384" spans="1:42" x14ac:dyDescent="0.2">
      <c r="A1384" s="40">
        <v>141</v>
      </c>
      <c r="B1384" s="40">
        <v>1383</v>
      </c>
      <c r="C1384" s="40" t="s">
        <v>241</v>
      </c>
      <c r="D1384" s="38" t="s">
        <v>240</v>
      </c>
      <c r="E1384" s="32" t="s">
        <v>2184</v>
      </c>
      <c r="F1384" s="32" t="s">
        <v>110</v>
      </c>
      <c r="G1384" s="54" t="s">
        <v>2928</v>
      </c>
      <c r="H1384" s="32" t="s">
        <v>242</v>
      </c>
      <c r="I1384" s="32" t="s">
        <v>243</v>
      </c>
      <c r="J1384" s="32" t="s">
        <v>2029</v>
      </c>
      <c r="K1384" s="32" t="s">
        <v>1513</v>
      </c>
      <c r="L1384" s="32" t="s">
        <v>30</v>
      </c>
      <c r="M1384" s="32" t="s">
        <v>30</v>
      </c>
      <c r="N1384" s="40">
        <v>1998</v>
      </c>
      <c r="O1384" s="32">
        <f>VLOOKUP(Data!N951, CPI!$A$2:$B$112, 2, 0)</f>
        <v>245.12</v>
      </c>
      <c r="P1384" s="32" t="s">
        <v>132</v>
      </c>
      <c r="Q1384" s="32" t="s">
        <v>239</v>
      </c>
      <c r="R1384" s="32" t="s">
        <v>2035</v>
      </c>
      <c r="S1384" s="32">
        <v>3100000</v>
      </c>
      <c r="T1384" s="32" t="s">
        <v>300</v>
      </c>
      <c r="U1384" s="32">
        <f t="shared" si="87"/>
        <v>76.645403748207485</v>
      </c>
      <c r="V1384" s="32" t="s">
        <v>316</v>
      </c>
      <c r="X1384" s="32">
        <f t="shared" si="88"/>
        <v>76.645403748207485</v>
      </c>
      <c r="Y1384" s="32">
        <f>(CPI!$B$112/O1384)*X1384</f>
        <v>95.267919861462445</v>
      </c>
      <c r="Z1384" s="38" t="s">
        <v>262</v>
      </c>
      <c r="AA1384" s="35" t="s">
        <v>1449</v>
      </c>
      <c r="AB1384" s="32">
        <v>40446</v>
      </c>
      <c r="AC1384" s="32" t="s">
        <v>1412</v>
      </c>
      <c r="AH1384" s="32" t="s">
        <v>411</v>
      </c>
      <c r="AJ1384" s="35" t="s">
        <v>2278</v>
      </c>
      <c r="AK1384" s="40" t="s">
        <v>2052</v>
      </c>
      <c r="AL1384" s="32">
        <v>2022</v>
      </c>
      <c r="AM1384" s="32" t="s">
        <v>2053</v>
      </c>
      <c r="AN1384" s="32" t="s">
        <v>2054</v>
      </c>
      <c r="AO1384" s="38" t="s">
        <v>2055</v>
      </c>
      <c r="AP1384" s="35" t="s">
        <v>396</v>
      </c>
    </row>
    <row r="1385" spans="1:42" x14ac:dyDescent="0.2">
      <c r="A1385" s="40">
        <v>141</v>
      </c>
      <c r="B1385" s="40">
        <v>1384</v>
      </c>
      <c r="C1385" s="40" t="s">
        <v>241</v>
      </c>
      <c r="D1385" s="38" t="s">
        <v>240</v>
      </c>
      <c r="E1385" s="32" t="s">
        <v>2184</v>
      </c>
      <c r="F1385" s="32" t="s">
        <v>145</v>
      </c>
      <c r="G1385" s="38" t="s">
        <v>146</v>
      </c>
      <c r="H1385" s="32" t="s">
        <v>242</v>
      </c>
      <c r="I1385" s="32" t="s">
        <v>243</v>
      </c>
      <c r="J1385" s="32" t="s">
        <v>2029</v>
      </c>
      <c r="K1385" s="32" t="s">
        <v>1513</v>
      </c>
      <c r="L1385" s="32" t="s">
        <v>30</v>
      </c>
      <c r="M1385" s="32" t="s">
        <v>30</v>
      </c>
      <c r="N1385" s="40">
        <v>1998</v>
      </c>
      <c r="O1385" s="32">
        <f>VLOOKUP(Data!N952, CPI!$A$2:$B$112, 2, 0)</f>
        <v>258.81099999999998</v>
      </c>
      <c r="P1385" s="32" t="s">
        <v>132</v>
      </c>
      <c r="Q1385" s="32" t="s">
        <v>239</v>
      </c>
      <c r="R1385" s="32" t="s">
        <v>2036</v>
      </c>
      <c r="S1385" s="32">
        <v>7600000</v>
      </c>
      <c r="T1385" s="32" t="s">
        <v>300</v>
      </c>
      <c r="U1385" s="32">
        <f t="shared" si="87"/>
        <v>187.90486080205707</v>
      </c>
      <c r="V1385" s="32" t="s">
        <v>316</v>
      </c>
      <c r="X1385" s="32">
        <f t="shared" si="88"/>
        <v>187.90486080205707</v>
      </c>
      <c r="Y1385" s="32">
        <f>(CPI!$B$112/O1385)*X1385</f>
        <v>221.20482629553285</v>
      </c>
      <c r="Z1385" s="38" t="s">
        <v>262</v>
      </c>
      <c r="AA1385" s="35" t="s">
        <v>1449</v>
      </c>
      <c r="AB1385" s="32">
        <v>40446</v>
      </c>
      <c r="AC1385" s="32" t="s">
        <v>1412</v>
      </c>
      <c r="AH1385" s="32" t="s">
        <v>411</v>
      </c>
      <c r="AJ1385" s="35" t="s">
        <v>2278</v>
      </c>
      <c r="AK1385" s="40" t="s">
        <v>2052</v>
      </c>
      <c r="AL1385" s="32">
        <v>2022</v>
      </c>
      <c r="AM1385" s="32" t="s">
        <v>2053</v>
      </c>
      <c r="AN1385" s="32" t="s">
        <v>2054</v>
      </c>
      <c r="AO1385" s="38" t="s">
        <v>2055</v>
      </c>
      <c r="AP1385" s="35" t="s">
        <v>396</v>
      </c>
    </row>
    <row r="1386" spans="1:42" x14ac:dyDescent="0.2">
      <c r="A1386" s="40">
        <v>141</v>
      </c>
      <c r="B1386" s="40">
        <v>1385</v>
      </c>
      <c r="C1386" s="40" t="s">
        <v>241</v>
      </c>
      <c r="D1386" s="38" t="s">
        <v>240</v>
      </c>
      <c r="E1386" s="32" t="s">
        <v>2184</v>
      </c>
      <c r="F1386" s="32" t="s">
        <v>131</v>
      </c>
      <c r="G1386" s="38" t="s">
        <v>2920</v>
      </c>
      <c r="H1386" s="32" t="s">
        <v>242</v>
      </c>
      <c r="I1386" s="32" t="s">
        <v>243</v>
      </c>
      <c r="J1386" s="32" t="s">
        <v>2029</v>
      </c>
      <c r="K1386" s="32" t="s">
        <v>1513</v>
      </c>
      <c r="L1386" s="32" t="s">
        <v>30</v>
      </c>
      <c r="M1386" s="32" t="s">
        <v>30</v>
      </c>
      <c r="N1386" s="40">
        <v>1998</v>
      </c>
      <c r="O1386" s="32">
        <f>VLOOKUP(Data!N953, CPI!$A$2:$B$112, 2, 0)</f>
        <v>258.81099999999998</v>
      </c>
      <c r="P1386" s="32" t="s">
        <v>132</v>
      </c>
      <c r="Q1386" s="32" t="s">
        <v>239</v>
      </c>
      <c r="R1386" s="32" t="s">
        <v>2037</v>
      </c>
      <c r="S1386" s="32">
        <v>6800000</v>
      </c>
      <c r="T1386" s="32" t="s">
        <v>300</v>
      </c>
      <c r="U1386" s="32">
        <f t="shared" si="87"/>
        <v>168.12540177026159</v>
      </c>
      <c r="V1386" s="32" t="s">
        <v>316</v>
      </c>
      <c r="X1386" s="32">
        <f t="shared" si="88"/>
        <v>168.12540177026159</v>
      </c>
      <c r="Y1386" s="32">
        <f>(CPI!$B$112/O1386)*X1386</f>
        <v>197.92010773810836</v>
      </c>
      <c r="Z1386" s="38" t="s">
        <v>262</v>
      </c>
      <c r="AA1386" s="35" t="s">
        <v>1449</v>
      </c>
      <c r="AB1386" s="32">
        <v>40446</v>
      </c>
      <c r="AC1386" s="32" t="s">
        <v>1412</v>
      </c>
      <c r="AH1386" s="32" t="s">
        <v>411</v>
      </c>
      <c r="AJ1386" s="35" t="s">
        <v>2278</v>
      </c>
      <c r="AK1386" s="40" t="s">
        <v>2052</v>
      </c>
      <c r="AL1386" s="32">
        <v>2022</v>
      </c>
      <c r="AM1386" s="32" t="s">
        <v>2053</v>
      </c>
      <c r="AN1386" s="32" t="s">
        <v>2054</v>
      </c>
      <c r="AO1386" s="38" t="s">
        <v>2055</v>
      </c>
      <c r="AP1386" s="35" t="s">
        <v>396</v>
      </c>
    </row>
    <row r="1387" spans="1:42" x14ac:dyDescent="0.2">
      <c r="A1387" s="40">
        <v>141</v>
      </c>
      <c r="B1387" s="40">
        <v>1386</v>
      </c>
      <c r="C1387" s="40" t="s">
        <v>241</v>
      </c>
      <c r="D1387" s="38" t="s">
        <v>240</v>
      </c>
      <c r="E1387" s="32" t="s">
        <v>2184</v>
      </c>
      <c r="F1387" s="59" t="s">
        <v>36</v>
      </c>
      <c r="G1387" s="54" t="s">
        <v>2934</v>
      </c>
      <c r="H1387" s="32" t="s">
        <v>242</v>
      </c>
      <c r="I1387" s="32" t="s">
        <v>243</v>
      </c>
      <c r="J1387" s="32" t="s">
        <v>2029</v>
      </c>
      <c r="K1387" s="32" t="s">
        <v>1513</v>
      </c>
      <c r="L1387" s="32" t="s">
        <v>30</v>
      </c>
      <c r="M1387" s="32" t="s">
        <v>30</v>
      </c>
      <c r="N1387" s="40">
        <v>1998</v>
      </c>
      <c r="O1387" s="32">
        <f>VLOOKUP(Data!N954, CPI!$A$2:$B$112, 2, 0)</f>
        <v>258.81099999999998</v>
      </c>
      <c r="P1387" s="32" t="s">
        <v>132</v>
      </c>
      <c r="Q1387" s="32" t="s">
        <v>239</v>
      </c>
      <c r="R1387" s="32" t="s">
        <v>2038</v>
      </c>
      <c r="S1387" s="32">
        <v>100000</v>
      </c>
      <c r="T1387" s="32" t="s">
        <v>300</v>
      </c>
      <c r="U1387" s="32">
        <f t="shared" si="87"/>
        <v>2.4724323789744349</v>
      </c>
      <c r="V1387" s="32" t="s">
        <v>316</v>
      </c>
      <c r="X1387" s="32">
        <f t="shared" si="88"/>
        <v>2.4724323789744349</v>
      </c>
      <c r="Y1387" s="32">
        <f>(CPI!$B$112/O1387)*X1387</f>
        <v>2.9105898196780635</v>
      </c>
      <c r="Z1387" s="38" t="s">
        <v>262</v>
      </c>
      <c r="AA1387" s="35" t="s">
        <v>1449</v>
      </c>
      <c r="AB1387" s="32">
        <v>40446</v>
      </c>
      <c r="AC1387" s="32" t="s">
        <v>1412</v>
      </c>
      <c r="AH1387" s="32" t="s">
        <v>411</v>
      </c>
      <c r="AJ1387" s="35" t="s">
        <v>2278</v>
      </c>
      <c r="AK1387" s="40" t="s">
        <v>2052</v>
      </c>
      <c r="AL1387" s="32">
        <v>2022</v>
      </c>
      <c r="AM1387" s="32" t="s">
        <v>2053</v>
      </c>
      <c r="AN1387" s="32" t="s">
        <v>2054</v>
      </c>
      <c r="AO1387" s="38" t="s">
        <v>2055</v>
      </c>
      <c r="AP1387" s="35" t="s">
        <v>396</v>
      </c>
    </row>
    <row r="1388" spans="1:42" x14ac:dyDescent="0.2">
      <c r="A1388" s="40">
        <v>141</v>
      </c>
      <c r="B1388" s="40">
        <v>1387</v>
      </c>
      <c r="C1388" s="40" t="s">
        <v>241</v>
      </c>
      <c r="D1388" s="38" t="s">
        <v>240</v>
      </c>
      <c r="E1388" s="32" t="s">
        <v>2184</v>
      </c>
      <c r="F1388" s="32" t="s">
        <v>131</v>
      </c>
      <c r="G1388" s="38" t="s">
        <v>64</v>
      </c>
      <c r="H1388" s="32" t="s">
        <v>242</v>
      </c>
      <c r="I1388" s="32" t="s">
        <v>243</v>
      </c>
      <c r="J1388" s="32" t="s">
        <v>2029</v>
      </c>
      <c r="K1388" s="32" t="s">
        <v>1513</v>
      </c>
      <c r="L1388" s="32" t="s">
        <v>30</v>
      </c>
      <c r="M1388" s="32" t="s">
        <v>30</v>
      </c>
      <c r="N1388" s="40">
        <v>1998</v>
      </c>
      <c r="O1388" s="32">
        <f>VLOOKUP(Data!N955, CPI!$A$2:$B$112, 2, 0)</f>
        <v>258.81099999999998</v>
      </c>
      <c r="P1388" s="32" t="s">
        <v>132</v>
      </c>
      <c r="Q1388" s="32" t="s">
        <v>239</v>
      </c>
      <c r="R1388" s="32" t="s">
        <v>2039</v>
      </c>
      <c r="S1388" s="32">
        <v>20000</v>
      </c>
      <c r="T1388" s="32" t="s">
        <v>300</v>
      </c>
      <c r="U1388" s="32">
        <f t="shared" si="87"/>
        <v>0.49448647579488703</v>
      </c>
      <c r="V1388" s="32" t="s">
        <v>316</v>
      </c>
      <c r="X1388" s="32">
        <f t="shared" si="88"/>
        <v>0.49448647579488703</v>
      </c>
      <c r="Y1388" s="32">
        <f>(CPI!$B$112/O1388)*X1388</f>
        <v>0.58211796393561277</v>
      </c>
      <c r="Z1388" s="38" t="s">
        <v>262</v>
      </c>
      <c r="AA1388" s="35" t="s">
        <v>1449</v>
      </c>
      <c r="AB1388" s="32">
        <v>40446</v>
      </c>
      <c r="AC1388" s="32" t="s">
        <v>1412</v>
      </c>
      <c r="AH1388" s="32" t="s">
        <v>411</v>
      </c>
      <c r="AJ1388" s="35" t="s">
        <v>2278</v>
      </c>
      <c r="AK1388" s="40" t="s">
        <v>2052</v>
      </c>
      <c r="AL1388" s="32">
        <v>2022</v>
      </c>
      <c r="AM1388" s="32" t="s">
        <v>2053</v>
      </c>
      <c r="AN1388" s="32" t="s">
        <v>2054</v>
      </c>
      <c r="AO1388" s="38" t="s">
        <v>2055</v>
      </c>
      <c r="AP1388" s="35" t="s">
        <v>396</v>
      </c>
    </row>
    <row r="1389" spans="1:42" x14ac:dyDescent="0.2">
      <c r="A1389" s="40">
        <v>141</v>
      </c>
      <c r="B1389" s="40">
        <v>1388</v>
      </c>
      <c r="C1389" s="40" t="s">
        <v>241</v>
      </c>
      <c r="D1389" s="38" t="s">
        <v>240</v>
      </c>
      <c r="E1389" s="32" t="s">
        <v>2186</v>
      </c>
      <c r="F1389" s="32" t="s">
        <v>21</v>
      </c>
      <c r="G1389" s="38" t="s">
        <v>163</v>
      </c>
      <c r="H1389" s="32" t="s">
        <v>242</v>
      </c>
      <c r="I1389" s="32" t="s">
        <v>243</v>
      </c>
      <c r="J1389" s="32" t="s">
        <v>2029</v>
      </c>
      <c r="K1389" s="32" t="s">
        <v>1513</v>
      </c>
      <c r="L1389" s="32" t="s">
        <v>30</v>
      </c>
      <c r="M1389" s="32" t="s">
        <v>30</v>
      </c>
      <c r="N1389" s="40">
        <v>1998</v>
      </c>
      <c r="O1389" s="32">
        <f>VLOOKUP(Data!N956, CPI!$A$2:$B$112, 2, 0)</f>
        <v>258.81099999999998</v>
      </c>
      <c r="P1389" s="32" t="s">
        <v>132</v>
      </c>
      <c r="Q1389" s="32" t="s">
        <v>239</v>
      </c>
      <c r="R1389" s="32" t="s">
        <v>2040</v>
      </c>
      <c r="S1389" s="32">
        <v>200000</v>
      </c>
      <c r="T1389" s="32" t="s">
        <v>300</v>
      </c>
      <c r="U1389" s="32">
        <f t="shared" si="87"/>
        <v>4.9448647579488698</v>
      </c>
      <c r="V1389" s="32" t="s">
        <v>316</v>
      </c>
      <c r="X1389" s="32">
        <f t="shared" si="88"/>
        <v>4.9448647579488698</v>
      </c>
      <c r="Y1389" s="32">
        <f>(CPI!$B$112/O1389)*X1389</f>
        <v>5.821179639356127</v>
      </c>
      <c r="Z1389" s="38" t="s">
        <v>262</v>
      </c>
      <c r="AA1389" s="35" t="s">
        <v>1449</v>
      </c>
      <c r="AB1389" s="32">
        <v>40446</v>
      </c>
      <c r="AC1389" s="32" t="s">
        <v>1412</v>
      </c>
      <c r="AH1389" s="32" t="s">
        <v>411</v>
      </c>
      <c r="AJ1389" s="35" t="s">
        <v>2278</v>
      </c>
      <c r="AK1389" s="40" t="s">
        <v>2052</v>
      </c>
      <c r="AL1389" s="32">
        <v>2022</v>
      </c>
      <c r="AM1389" s="32" t="s">
        <v>2053</v>
      </c>
      <c r="AN1389" s="32" t="s">
        <v>2054</v>
      </c>
      <c r="AO1389" s="38" t="s">
        <v>2055</v>
      </c>
      <c r="AP1389" s="35" t="s">
        <v>396</v>
      </c>
    </row>
    <row r="1390" spans="1:42" x14ac:dyDescent="0.2">
      <c r="A1390" s="40">
        <v>141</v>
      </c>
      <c r="B1390" s="40">
        <v>1389</v>
      </c>
      <c r="C1390" s="40" t="s">
        <v>241</v>
      </c>
      <c r="D1390" s="38" t="s">
        <v>240</v>
      </c>
      <c r="E1390" s="32" t="s">
        <v>2184</v>
      </c>
      <c r="F1390" s="32" t="s">
        <v>43</v>
      </c>
      <c r="G1390" s="38" t="s">
        <v>44</v>
      </c>
      <c r="H1390" s="32" t="s">
        <v>242</v>
      </c>
      <c r="I1390" s="32" t="s">
        <v>243</v>
      </c>
      <c r="J1390" s="32" t="s">
        <v>2029</v>
      </c>
      <c r="K1390" s="32" t="s">
        <v>1513</v>
      </c>
      <c r="L1390" s="32" t="s">
        <v>30</v>
      </c>
      <c r="M1390" s="32" t="s">
        <v>30</v>
      </c>
      <c r="N1390" s="40">
        <v>1998</v>
      </c>
      <c r="O1390" s="32">
        <f>VLOOKUP(Data!N957, CPI!$A$2:$B$112, 2, 0)</f>
        <v>258.81099999999998</v>
      </c>
      <c r="P1390" s="32" t="s">
        <v>132</v>
      </c>
      <c r="Q1390" s="32" t="s">
        <v>239</v>
      </c>
      <c r="R1390" s="32" t="s">
        <v>2041</v>
      </c>
      <c r="S1390" s="32">
        <v>28200000</v>
      </c>
      <c r="T1390" s="32" t="s">
        <v>300</v>
      </c>
      <c r="U1390" s="32">
        <f t="shared" si="87"/>
        <v>697.22593087079065</v>
      </c>
      <c r="V1390" s="32" t="s">
        <v>316</v>
      </c>
      <c r="X1390" s="32">
        <f t="shared" si="88"/>
        <v>697.22593087079065</v>
      </c>
      <c r="Y1390" s="32">
        <f>(CPI!$B$112/O1390)*X1390</f>
        <v>820.786329149214</v>
      </c>
      <c r="Z1390" s="38" t="s">
        <v>262</v>
      </c>
      <c r="AA1390" s="35" t="s">
        <v>1449</v>
      </c>
      <c r="AB1390" s="32">
        <v>40446</v>
      </c>
      <c r="AC1390" s="32" t="s">
        <v>1412</v>
      </c>
      <c r="AH1390" s="32" t="s">
        <v>411</v>
      </c>
      <c r="AJ1390" s="35" t="s">
        <v>2278</v>
      </c>
      <c r="AK1390" s="40" t="s">
        <v>2052</v>
      </c>
      <c r="AL1390" s="32">
        <v>2022</v>
      </c>
      <c r="AM1390" s="32" t="s">
        <v>2053</v>
      </c>
      <c r="AN1390" s="32" t="s">
        <v>2054</v>
      </c>
      <c r="AO1390" s="38" t="s">
        <v>2055</v>
      </c>
      <c r="AP1390" s="35" t="s">
        <v>396</v>
      </c>
    </row>
    <row r="1391" spans="1:42" x14ac:dyDescent="0.2">
      <c r="A1391" s="40">
        <v>141</v>
      </c>
      <c r="B1391" s="40">
        <v>1390</v>
      </c>
      <c r="C1391" s="40" t="s">
        <v>241</v>
      </c>
      <c r="D1391" s="38" t="s">
        <v>240</v>
      </c>
      <c r="E1391" s="32" t="s">
        <v>2184</v>
      </c>
      <c r="F1391" s="32" t="s">
        <v>47</v>
      </c>
      <c r="G1391" s="54" t="s">
        <v>2932</v>
      </c>
      <c r="H1391" s="32" t="s">
        <v>242</v>
      </c>
      <c r="I1391" s="32" t="s">
        <v>243</v>
      </c>
      <c r="J1391" s="32" t="s">
        <v>2029</v>
      </c>
      <c r="K1391" s="32" t="s">
        <v>1513</v>
      </c>
      <c r="L1391" s="32" t="s">
        <v>30</v>
      </c>
      <c r="M1391" s="32" t="s">
        <v>30</v>
      </c>
      <c r="N1391" s="40">
        <v>1998</v>
      </c>
      <c r="O1391" s="32">
        <f>VLOOKUP(Data!N958, CPI!$A$2:$B$112, 2, 0)</f>
        <v>258.81099999999998</v>
      </c>
      <c r="P1391" s="32" t="s">
        <v>132</v>
      </c>
      <c r="Q1391" s="32" t="s">
        <v>239</v>
      </c>
      <c r="R1391" s="32" t="s">
        <v>2042</v>
      </c>
      <c r="S1391" s="32">
        <v>120000</v>
      </c>
      <c r="T1391" s="32" t="s">
        <v>300</v>
      </c>
      <c r="U1391" s="32">
        <f t="shared" si="87"/>
        <v>2.9669188547693222</v>
      </c>
      <c r="V1391" s="32" t="s">
        <v>316</v>
      </c>
      <c r="X1391" s="32">
        <f t="shared" si="88"/>
        <v>2.9669188547693222</v>
      </c>
      <c r="Y1391" s="32">
        <f>(CPI!$B$112/O1391)*X1391</f>
        <v>3.4927077836136768</v>
      </c>
      <c r="Z1391" s="38" t="s">
        <v>262</v>
      </c>
      <c r="AA1391" s="35" t="s">
        <v>1449</v>
      </c>
      <c r="AB1391" s="32">
        <v>40446</v>
      </c>
      <c r="AC1391" s="32" t="s">
        <v>1412</v>
      </c>
      <c r="AH1391" s="32" t="s">
        <v>411</v>
      </c>
      <c r="AJ1391" s="35" t="s">
        <v>2278</v>
      </c>
      <c r="AK1391" s="40" t="s">
        <v>2052</v>
      </c>
      <c r="AL1391" s="32">
        <v>2022</v>
      </c>
      <c r="AM1391" s="32" t="s">
        <v>2053</v>
      </c>
      <c r="AN1391" s="32" t="s">
        <v>2054</v>
      </c>
      <c r="AO1391" s="38" t="s">
        <v>2055</v>
      </c>
      <c r="AP1391" s="35" t="s">
        <v>396</v>
      </c>
    </row>
    <row r="1392" spans="1:42" x14ac:dyDescent="0.2">
      <c r="A1392" s="40">
        <v>141</v>
      </c>
      <c r="B1392" s="40">
        <v>1391</v>
      </c>
      <c r="C1392" s="40" t="s">
        <v>241</v>
      </c>
      <c r="D1392" s="38" t="s">
        <v>240</v>
      </c>
      <c r="E1392" s="32" t="s">
        <v>2184</v>
      </c>
      <c r="F1392" s="32" t="s">
        <v>43</v>
      </c>
      <c r="G1392" s="38" t="s">
        <v>46</v>
      </c>
      <c r="H1392" s="32" t="s">
        <v>242</v>
      </c>
      <c r="I1392" s="32" t="s">
        <v>243</v>
      </c>
      <c r="J1392" s="32" t="s">
        <v>2029</v>
      </c>
      <c r="K1392" s="32" t="s">
        <v>1513</v>
      </c>
      <c r="L1392" s="32" t="s">
        <v>30</v>
      </c>
      <c r="M1392" s="32" t="s">
        <v>30</v>
      </c>
      <c r="N1392" s="40">
        <v>1998</v>
      </c>
      <c r="O1392" s="32">
        <f>VLOOKUP(Data!N959, CPI!$A$2:$B$112, 2, 0)</f>
        <v>218.05600000000001</v>
      </c>
      <c r="P1392" s="32" t="s">
        <v>132</v>
      </c>
      <c r="Q1392" s="32" t="s">
        <v>239</v>
      </c>
      <c r="R1392" s="32" t="s">
        <v>2043</v>
      </c>
      <c r="S1392" s="32">
        <v>300000</v>
      </c>
      <c r="T1392" s="32" t="s">
        <v>300</v>
      </c>
      <c r="U1392" s="32">
        <f t="shared" si="87"/>
        <v>7.4172971369233052</v>
      </c>
      <c r="V1392" s="32" t="s">
        <v>316</v>
      </c>
      <c r="X1392" s="32">
        <f t="shared" si="88"/>
        <v>7.4172971369233052</v>
      </c>
      <c r="Y1392" s="32">
        <f>(CPI!$B$112/O1392)*X1392</f>
        <v>10.36375052950663</v>
      </c>
      <c r="Z1392" s="38" t="s">
        <v>262</v>
      </c>
      <c r="AA1392" s="35" t="s">
        <v>1449</v>
      </c>
      <c r="AB1392" s="32">
        <v>40446</v>
      </c>
      <c r="AC1392" s="32" t="s">
        <v>1412</v>
      </c>
      <c r="AH1392" s="32" t="s">
        <v>411</v>
      </c>
      <c r="AJ1392" s="35" t="s">
        <v>2278</v>
      </c>
      <c r="AK1392" s="40" t="s">
        <v>2052</v>
      </c>
      <c r="AL1392" s="32">
        <v>2022</v>
      </c>
      <c r="AM1392" s="32" t="s">
        <v>2053</v>
      </c>
      <c r="AN1392" s="32" t="s">
        <v>2054</v>
      </c>
      <c r="AO1392" s="38" t="s">
        <v>2055</v>
      </c>
      <c r="AP1392" s="35" t="s">
        <v>396</v>
      </c>
    </row>
    <row r="1393" spans="1:42" x14ac:dyDescent="0.2">
      <c r="A1393" s="40">
        <v>141</v>
      </c>
      <c r="B1393" s="40">
        <v>1392</v>
      </c>
      <c r="C1393" s="40" t="s">
        <v>241</v>
      </c>
      <c r="D1393" s="38" t="s">
        <v>240</v>
      </c>
      <c r="E1393" s="32" t="s">
        <v>2887</v>
      </c>
      <c r="F1393" s="32" t="s">
        <v>121</v>
      </c>
      <c r="G1393" s="38" t="s">
        <v>121</v>
      </c>
      <c r="H1393" s="32" t="s">
        <v>242</v>
      </c>
      <c r="I1393" s="32" t="s">
        <v>243</v>
      </c>
      <c r="J1393" s="32" t="s">
        <v>2029</v>
      </c>
      <c r="K1393" s="32" t="s">
        <v>1513</v>
      </c>
      <c r="L1393" s="32" t="s">
        <v>30</v>
      </c>
      <c r="M1393" s="32" t="s">
        <v>30</v>
      </c>
      <c r="N1393" s="40">
        <v>1998</v>
      </c>
      <c r="O1393" s="32">
        <f>VLOOKUP(Data!N960, CPI!$A$2:$B$112, 2, 0)</f>
        <v>218.05600000000001</v>
      </c>
      <c r="P1393" s="32" t="s">
        <v>132</v>
      </c>
      <c r="Q1393" s="32" t="s">
        <v>239</v>
      </c>
      <c r="R1393" s="32" t="s">
        <v>2044</v>
      </c>
      <c r="S1393" s="32">
        <v>3500000</v>
      </c>
      <c r="T1393" s="32" t="s">
        <v>300</v>
      </c>
      <c r="U1393" s="32">
        <f t="shared" si="87"/>
        <v>86.535133264105227</v>
      </c>
      <c r="V1393" s="32" t="s">
        <v>316</v>
      </c>
      <c r="X1393" s="32">
        <f t="shared" si="88"/>
        <v>86.535133264105227</v>
      </c>
      <c r="Y1393" s="32">
        <f>(CPI!$B$112/O1393)*X1393</f>
        <v>120.91042284424402</v>
      </c>
      <c r="Z1393" s="38" t="s">
        <v>262</v>
      </c>
      <c r="AA1393" s="35" t="s">
        <v>1449</v>
      </c>
      <c r="AB1393" s="32">
        <v>40446</v>
      </c>
      <c r="AC1393" s="32" t="s">
        <v>1412</v>
      </c>
      <c r="AH1393" s="32" t="s">
        <v>411</v>
      </c>
      <c r="AJ1393" s="35" t="s">
        <v>2278</v>
      </c>
      <c r="AK1393" s="40" t="s">
        <v>2052</v>
      </c>
      <c r="AL1393" s="32">
        <v>2022</v>
      </c>
      <c r="AM1393" s="32" t="s">
        <v>2053</v>
      </c>
      <c r="AN1393" s="32" t="s">
        <v>2054</v>
      </c>
      <c r="AO1393" s="38" t="s">
        <v>2055</v>
      </c>
      <c r="AP1393" s="35" t="s">
        <v>396</v>
      </c>
    </row>
    <row r="1394" spans="1:42" x14ac:dyDescent="0.2">
      <c r="A1394" s="40">
        <v>141</v>
      </c>
      <c r="B1394" s="40">
        <v>1393</v>
      </c>
      <c r="C1394" s="40" t="s">
        <v>241</v>
      </c>
      <c r="D1394" s="38" t="s">
        <v>240</v>
      </c>
      <c r="E1394" s="32" t="s">
        <v>2887</v>
      </c>
      <c r="F1394" s="32" t="s">
        <v>10</v>
      </c>
      <c r="G1394" s="38" t="s">
        <v>19</v>
      </c>
      <c r="H1394" s="32" t="s">
        <v>242</v>
      </c>
      <c r="I1394" s="32" t="s">
        <v>243</v>
      </c>
      <c r="J1394" s="32" t="s">
        <v>2029</v>
      </c>
      <c r="K1394" s="32" t="s">
        <v>1513</v>
      </c>
      <c r="L1394" s="32" t="s">
        <v>30</v>
      </c>
      <c r="M1394" s="32" t="s">
        <v>30</v>
      </c>
      <c r="N1394" s="40">
        <v>1998</v>
      </c>
      <c r="O1394" s="32">
        <f>VLOOKUP(Data!N961, CPI!$A$2:$B$112, 2, 0)</f>
        <v>207.3</v>
      </c>
      <c r="P1394" s="32" t="s">
        <v>132</v>
      </c>
      <c r="Q1394" s="32" t="s">
        <v>239</v>
      </c>
      <c r="R1394" s="32" t="s">
        <v>2045</v>
      </c>
      <c r="S1394" s="32">
        <v>100000</v>
      </c>
      <c r="T1394" s="32" t="s">
        <v>300</v>
      </c>
      <c r="U1394" s="32">
        <f t="shared" ref="U1394:U1425" si="89">S1394/AB1394</f>
        <v>2.4724323789744349</v>
      </c>
      <c r="V1394" s="32" t="s">
        <v>316</v>
      </c>
      <c r="X1394" s="32">
        <f t="shared" ref="X1394:X1425" si="90">U1394</f>
        <v>2.4724323789744349</v>
      </c>
      <c r="Y1394" s="32">
        <f>(CPI!$B$112/O1394)*X1394</f>
        <v>3.6338285664288432</v>
      </c>
      <c r="Z1394" s="38" t="s">
        <v>262</v>
      </c>
      <c r="AA1394" s="35" t="s">
        <v>1449</v>
      </c>
      <c r="AB1394" s="32">
        <v>40446</v>
      </c>
      <c r="AC1394" s="32" t="s">
        <v>1412</v>
      </c>
      <c r="AH1394" s="32" t="s">
        <v>411</v>
      </c>
      <c r="AJ1394" s="35" t="s">
        <v>2278</v>
      </c>
      <c r="AK1394" s="40" t="s">
        <v>2052</v>
      </c>
      <c r="AL1394" s="32">
        <v>2022</v>
      </c>
      <c r="AM1394" s="32" t="s">
        <v>2053</v>
      </c>
      <c r="AN1394" s="32" t="s">
        <v>2054</v>
      </c>
      <c r="AO1394" s="38" t="s">
        <v>2055</v>
      </c>
      <c r="AP1394" s="35" t="s">
        <v>396</v>
      </c>
    </row>
    <row r="1395" spans="1:42" x14ac:dyDescent="0.2">
      <c r="A1395" s="40">
        <v>141</v>
      </c>
      <c r="B1395" s="40">
        <v>1394</v>
      </c>
      <c r="C1395" s="40" t="s">
        <v>241</v>
      </c>
      <c r="D1395" s="38" t="s">
        <v>240</v>
      </c>
      <c r="E1395" s="32" t="s">
        <v>2186</v>
      </c>
      <c r="F1395" s="32" t="s">
        <v>29</v>
      </c>
      <c r="G1395" s="38" t="s">
        <v>29</v>
      </c>
      <c r="H1395" s="32" t="s">
        <v>242</v>
      </c>
      <c r="I1395" s="32" t="s">
        <v>243</v>
      </c>
      <c r="J1395" s="32" t="s">
        <v>2029</v>
      </c>
      <c r="K1395" s="32" t="s">
        <v>1513</v>
      </c>
      <c r="L1395" s="32" t="s">
        <v>30</v>
      </c>
      <c r="M1395" s="32" t="s">
        <v>30</v>
      </c>
      <c r="N1395" s="40">
        <v>1998</v>
      </c>
      <c r="O1395" s="32">
        <f>VLOOKUP(Data!N962, CPI!$A$2:$B$112, 2, 0)</f>
        <v>207.3</v>
      </c>
      <c r="P1395" s="32" t="s">
        <v>132</v>
      </c>
      <c r="Q1395" s="32" t="s">
        <v>239</v>
      </c>
      <c r="R1395" s="32" t="s">
        <v>2046</v>
      </c>
      <c r="S1395" s="32">
        <v>63900000</v>
      </c>
      <c r="T1395" s="32" t="s">
        <v>300</v>
      </c>
      <c r="U1395" s="32">
        <f t="shared" si="89"/>
        <v>1579.884290164664</v>
      </c>
      <c r="V1395" s="32" t="s">
        <v>316</v>
      </c>
      <c r="X1395" s="32">
        <f t="shared" si="90"/>
        <v>1579.884290164664</v>
      </c>
      <c r="Y1395" s="32">
        <f>(CPI!$B$112/O1395)*X1395</f>
        <v>2322.0164539480311</v>
      </c>
      <c r="Z1395" s="38" t="s">
        <v>262</v>
      </c>
      <c r="AA1395" s="35" t="s">
        <v>1449</v>
      </c>
      <c r="AB1395" s="32">
        <v>40446</v>
      </c>
      <c r="AC1395" s="32" t="s">
        <v>1412</v>
      </c>
      <c r="AH1395" s="32" t="s">
        <v>411</v>
      </c>
      <c r="AJ1395" s="35" t="s">
        <v>2278</v>
      </c>
      <c r="AK1395" s="40" t="s">
        <v>2052</v>
      </c>
      <c r="AL1395" s="32">
        <v>2022</v>
      </c>
      <c r="AM1395" s="32" t="s">
        <v>2053</v>
      </c>
      <c r="AN1395" s="32" t="s">
        <v>2054</v>
      </c>
      <c r="AO1395" s="38" t="s">
        <v>2055</v>
      </c>
      <c r="AP1395" s="35" t="s">
        <v>396</v>
      </c>
    </row>
    <row r="1396" spans="1:42" x14ac:dyDescent="0.2">
      <c r="A1396" s="40">
        <v>141</v>
      </c>
      <c r="B1396" s="40">
        <v>1395</v>
      </c>
      <c r="C1396" s="40" t="s">
        <v>241</v>
      </c>
      <c r="D1396" s="38" t="s">
        <v>240</v>
      </c>
      <c r="E1396" s="32" t="s">
        <v>2183</v>
      </c>
      <c r="F1396" s="32" t="s">
        <v>244</v>
      </c>
      <c r="G1396" s="38" t="s">
        <v>2908</v>
      </c>
      <c r="H1396" s="32" t="s">
        <v>242</v>
      </c>
      <c r="I1396" s="32" t="s">
        <v>243</v>
      </c>
      <c r="J1396" s="32" t="s">
        <v>2029</v>
      </c>
      <c r="K1396" s="32" t="s">
        <v>1513</v>
      </c>
      <c r="L1396" s="32" t="s">
        <v>30</v>
      </c>
      <c r="M1396" s="32" t="s">
        <v>30</v>
      </c>
      <c r="N1396" s="40">
        <v>2007</v>
      </c>
      <c r="O1396" s="32">
        <f>VLOOKUP(Data!N963, CPI!$A$2:$B$112, 2, 0)</f>
        <v>207.3</v>
      </c>
      <c r="P1396" s="32" t="s">
        <v>132</v>
      </c>
      <c r="Q1396" s="32" t="s">
        <v>239</v>
      </c>
      <c r="R1396" s="32" t="s">
        <v>2030</v>
      </c>
      <c r="S1396" s="32">
        <v>300000</v>
      </c>
      <c r="T1396" s="32" t="s">
        <v>300</v>
      </c>
      <c r="U1396" s="32">
        <f t="shared" si="89"/>
        <v>7.4172971369233052</v>
      </c>
      <c r="V1396" s="32" t="s">
        <v>316</v>
      </c>
      <c r="X1396" s="32">
        <f t="shared" si="90"/>
        <v>7.4172971369233052</v>
      </c>
      <c r="Y1396" s="32">
        <f>(CPI!$B$112/O1396)*X1396</f>
        <v>10.90148569928653</v>
      </c>
      <c r="Z1396" s="38" t="s">
        <v>262</v>
      </c>
      <c r="AA1396" s="35" t="s">
        <v>1449</v>
      </c>
      <c r="AB1396" s="32">
        <v>40446</v>
      </c>
      <c r="AC1396" s="32" t="s">
        <v>1412</v>
      </c>
      <c r="AH1396" s="32" t="s">
        <v>411</v>
      </c>
      <c r="AJ1396" s="35" t="s">
        <v>2278</v>
      </c>
      <c r="AK1396" s="40" t="s">
        <v>2052</v>
      </c>
      <c r="AL1396" s="32">
        <v>2022</v>
      </c>
      <c r="AM1396" s="32" t="s">
        <v>2053</v>
      </c>
      <c r="AN1396" s="32" t="s">
        <v>2054</v>
      </c>
      <c r="AO1396" s="38" t="s">
        <v>2055</v>
      </c>
      <c r="AP1396" s="35" t="s">
        <v>396</v>
      </c>
    </row>
    <row r="1397" spans="1:42" x14ac:dyDescent="0.2">
      <c r="A1397" s="40">
        <v>141</v>
      </c>
      <c r="B1397" s="40">
        <v>1396</v>
      </c>
      <c r="C1397" s="40" t="s">
        <v>241</v>
      </c>
      <c r="D1397" s="38" t="s">
        <v>240</v>
      </c>
      <c r="E1397" s="32" t="s">
        <v>2183</v>
      </c>
      <c r="F1397" s="32" t="s">
        <v>237</v>
      </c>
      <c r="G1397" s="36" t="s">
        <v>2907</v>
      </c>
      <c r="H1397" s="32" t="s">
        <v>242</v>
      </c>
      <c r="I1397" s="32" t="s">
        <v>243</v>
      </c>
      <c r="J1397" s="32" t="s">
        <v>2029</v>
      </c>
      <c r="K1397" s="32" t="s">
        <v>1513</v>
      </c>
      <c r="L1397" s="32" t="s">
        <v>30</v>
      </c>
      <c r="M1397" s="32" t="s">
        <v>30</v>
      </c>
      <c r="N1397" s="40">
        <v>2007</v>
      </c>
      <c r="O1397" s="32">
        <f>VLOOKUP(Data!N964, CPI!$A$2:$B$112, 2, 0)</f>
        <v>207.3</v>
      </c>
      <c r="P1397" s="32" t="s">
        <v>132</v>
      </c>
      <c r="Q1397" s="32" t="s">
        <v>239</v>
      </c>
      <c r="R1397" s="32" t="s">
        <v>2031</v>
      </c>
      <c r="S1397" s="32">
        <v>1400000</v>
      </c>
      <c r="T1397" s="32" t="s">
        <v>300</v>
      </c>
      <c r="U1397" s="32">
        <f t="shared" si="89"/>
        <v>34.614053305642088</v>
      </c>
      <c r="V1397" s="32" t="s">
        <v>316</v>
      </c>
      <c r="X1397" s="32">
        <f t="shared" si="90"/>
        <v>34.614053305642088</v>
      </c>
      <c r="Y1397" s="32">
        <f>(CPI!$B$112/O1397)*X1397</f>
        <v>50.873599930003806</v>
      </c>
      <c r="Z1397" s="38" t="s">
        <v>262</v>
      </c>
      <c r="AA1397" s="35" t="s">
        <v>1449</v>
      </c>
      <c r="AB1397" s="32">
        <v>40446</v>
      </c>
      <c r="AC1397" s="32" t="s">
        <v>1412</v>
      </c>
      <c r="AH1397" s="32" t="s">
        <v>411</v>
      </c>
      <c r="AJ1397" s="35" t="s">
        <v>2278</v>
      </c>
      <c r="AK1397" s="40" t="s">
        <v>2052</v>
      </c>
      <c r="AL1397" s="32">
        <v>2022</v>
      </c>
      <c r="AM1397" s="32" t="s">
        <v>2053</v>
      </c>
      <c r="AN1397" s="32" t="s">
        <v>2054</v>
      </c>
      <c r="AO1397" s="38" t="s">
        <v>2055</v>
      </c>
      <c r="AP1397" s="35" t="s">
        <v>396</v>
      </c>
    </row>
    <row r="1398" spans="1:42" x14ac:dyDescent="0.2">
      <c r="A1398" s="40">
        <v>141</v>
      </c>
      <c r="B1398" s="40">
        <v>1397</v>
      </c>
      <c r="C1398" s="40" t="s">
        <v>241</v>
      </c>
      <c r="D1398" s="38" t="s">
        <v>240</v>
      </c>
      <c r="E1398" s="32" t="s">
        <v>2183</v>
      </c>
      <c r="F1398" s="32" t="s">
        <v>126</v>
      </c>
      <c r="G1398" s="54" t="s">
        <v>2909</v>
      </c>
      <c r="H1398" s="32" t="s">
        <v>242</v>
      </c>
      <c r="I1398" s="32" t="s">
        <v>243</v>
      </c>
      <c r="J1398" s="32" t="s">
        <v>2029</v>
      </c>
      <c r="K1398" s="32" t="s">
        <v>1513</v>
      </c>
      <c r="L1398" s="32" t="s">
        <v>30</v>
      </c>
      <c r="M1398" s="32" t="s">
        <v>30</v>
      </c>
      <c r="N1398" s="40">
        <v>2007</v>
      </c>
      <c r="O1398" s="32">
        <f>VLOOKUP(Data!N965, CPI!$A$2:$B$112, 2, 0)</f>
        <v>207.3</v>
      </c>
      <c r="P1398" s="32" t="s">
        <v>132</v>
      </c>
      <c r="Q1398" s="32" t="s">
        <v>239</v>
      </c>
      <c r="R1398" s="32" t="s">
        <v>2032</v>
      </c>
      <c r="S1398" s="32">
        <v>9200000</v>
      </c>
      <c r="T1398" s="32" t="s">
        <v>300</v>
      </c>
      <c r="U1398" s="32">
        <f t="shared" si="89"/>
        <v>227.46377886564804</v>
      </c>
      <c r="V1398" s="32" t="s">
        <v>316</v>
      </c>
      <c r="X1398" s="32">
        <f t="shared" si="90"/>
        <v>227.46377886564804</v>
      </c>
      <c r="Y1398" s="32">
        <f>(CPI!$B$112/O1398)*X1398</f>
        <v>334.31222811145363</v>
      </c>
      <c r="Z1398" s="38" t="s">
        <v>262</v>
      </c>
      <c r="AA1398" s="35" t="s">
        <v>1449</v>
      </c>
      <c r="AB1398" s="32">
        <v>40446</v>
      </c>
      <c r="AC1398" s="32" t="s">
        <v>1412</v>
      </c>
      <c r="AH1398" s="32" t="s">
        <v>411</v>
      </c>
      <c r="AJ1398" s="35" t="s">
        <v>2278</v>
      </c>
      <c r="AK1398" s="40" t="s">
        <v>2052</v>
      </c>
      <c r="AL1398" s="32">
        <v>2022</v>
      </c>
      <c r="AM1398" s="32" t="s">
        <v>2053</v>
      </c>
      <c r="AN1398" s="32" t="s">
        <v>2054</v>
      </c>
      <c r="AO1398" s="38" t="s">
        <v>2055</v>
      </c>
      <c r="AP1398" s="35" t="s">
        <v>396</v>
      </c>
    </row>
    <row r="1399" spans="1:42" x14ac:dyDescent="0.2">
      <c r="A1399" s="40">
        <v>141</v>
      </c>
      <c r="B1399" s="40">
        <v>1398</v>
      </c>
      <c r="C1399" s="40" t="s">
        <v>241</v>
      </c>
      <c r="D1399" s="38" t="s">
        <v>240</v>
      </c>
      <c r="E1399" s="32" t="s">
        <v>2183</v>
      </c>
      <c r="F1399" s="32" t="s">
        <v>48</v>
      </c>
      <c r="G1399" s="38" t="s">
        <v>2913</v>
      </c>
      <c r="H1399" s="32" t="s">
        <v>242</v>
      </c>
      <c r="I1399" s="32" t="s">
        <v>243</v>
      </c>
      <c r="J1399" s="32" t="s">
        <v>2029</v>
      </c>
      <c r="K1399" s="32" t="s">
        <v>1513</v>
      </c>
      <c r="L1399" s="32" t="s">
        <v>30</v>
      </c>
      <c r="M1399" s="32" t="s">
        <v>30</v>
      </c>
      <c r="N1399" s="40">
        <v>2007</v>
      </c>
      <c r="O1399" s="32">
        <f>VLOOKUP(Data!N966, CPI!$A$2:$B$112, 2, 0)</f>
        <v>207.3</v>
      </c>
      <c r="P1399" s="32" t="s">
        <v>132</v>
      </c>
      <c r="Q1399" s="32" t="s">
        <v>239</v>
      </c>
      <c r="R1399" s="32" t="s">
        <v>2033</v>
      </c>
      <c r="S1399" s="32">
        <v>1200000</v>
      </c>
      <c r="T1399" s="32" t="s">
        <v>300</v>
      </c>
      <c r="U1399" s="32">
        <f t="shared" si="89"/>
        <v>29.669188547693221</v>
      </c>
      <c r="V1399" s="32" t="s">
        <v>316</v>
      </c>
      <c r="X1399" s="32">
        <f t="shared" si="90"/>
        <v>29.669188547693221</v>
      </c>
      <c r="Y1399" s="32">
        <f>(CPI!$B$112/O1399)*X1399</f>
        <v>43.60594279714612</v>
      </c>
      <c r="Z1399" s="38" t="s">
        <v>262</v>
      </c>
      <c r="AA1399" s="35" t="s">
        <v>1449</v>
      </c>
      <c r="AB1399" s="32">
        <v>40446</v>
      </c>
      <c r="AC1399" s="32" t="s">
        <v>1412</v>
      </c>
      <c r="AH1399" s="32" t="s">
        <v>411</v>
      </c>
      <c r="AJ1399" s="35" t="s">
        <v>2278</v>
      </c>
      <c r="AK1399" s="40" t="s">
        <v>2052</v>
      </c>
      <c r="AL1399" s="32">
        <v>2022</v>
      </c>
      <c r="AM1399" s="32" t="s">
        <v>2053</v>
      </c>
      <c r="AN1399" s="32" t="s">
        <v>2054</v>
      </c>
      <c r="AO1399" s="38" t="s">
        <v>2055</v>
      </c>
      <c r="AP1399" s="35" t="s">
        <v>396</v>
      </c>
    </row>
    <row r="1400" spans="1:42" x14ac:dyDescent="0.2">
      <c r="A1400" s="40">
        <v>141</v>
      </c>
      <c r="B1400" s="40">
        <v>1399</v>
      </c>
      <c r="C1400" s="40" t="s">
        <v>241</v>
      </c>
      <c r="D1400" s="38" t="s">
        <v>240</v>
      </c>
      <c r="E1400" s="32" t="s">
        <v>2183</v>
      </c>
      <c r="F1400" s="32" t="s">
        <v>244</v>
      </c>
      <c r="G1400" s="38" t="s">
        <v>1102</v>
      </c>
      <c r="H1400" s="32" t="s">
        <v>242</v>
      </c>
      <c r="I1400" s="32" t="s">
        <v>243</v>
      </c>
      <c r="J1400" s="32" t="s">
        <v>2029</v>
      </c>
      <c r="K1400" s="32" t="s">
        <v>1513</v>
      </c>
      <c r="L1400" s="32" t="s">
        <v>30</v>
      </c>
      <c r="M1400" s="32" t="s">
        <v>30</v>
      </c>
      <c r="N1400" s="40">
        <v>2007</v>
      </c>
      <c r="O1400" s="32">
        <f>VLOOKUP(Data!N967, CPI!$A$2:$B$112, 2, 0)</f>
        <v>214.53700000000001</v>
      </c>
      <c r="P1400" s="32" t="s">
        <v>132</v>
      </c>
      <c r="Q1400" s="32" t="s">
        <v>239</v>
      </c>
      <c r="R1400" s="32" t="s">
        <v>2034</v>
      </c>
      <c r="S1400" s="32">
        <v>800000</v>
      </c>
      <c r="T1400" s="32" t="s">
        <v>300</v>
      </c>
      <c r="U1400" s="32">
        <f t="shared" si="89"/>
        <v>19.779459031795479</v>
      </c>
      <c r="V1400" s="32" t="s">
        <v>316</v>
      </c>
      <c r="X1400" s="32">
        <f t="shared" si="90"/>
        <v>19.779459031795479</v>
      </c>
      <c r="Y1400" s="32">
        <f>(CPI!$B$112/O1400)*X1400</f>
        <v>28.089985851231226</v>
      </c>
      <c r="Z1400" s="38" t="s">
        <v>262</v>
      </c>
      <c r="AA1400" s="35" t="s">
        <v>1449</v>
      </c>
      <c r="AB1400" s="32">
        <v>40446</v>
      </c>
      <c r="AC1400" s="32" t="s">
        <v>1412</v>
      </c>
      <c r="AH1400" s="32" t="s">
        <v>411</v>
      </c>
      <c r="AJ1400" s="35" t="s">
        <v>2278</v>
      </c>
      <c r="AK1400" s="40" t="s">
        <v>2052</v>
      </c>
      <c r="AL1400" s="32">
        <v>2022</v>
      </c>
      <c r="AM1400" s="32" t="s">
        <v>2053</v>
      </c>
      <c r="AN1400" s="32" t="s">
        <v>2054</v>
      </c>
      <c r="AO1400" s="38" t="s">
        <v>2055</v>
      </c>
      <c r="AP1400" s="35" t="s">
        <v>396</v>
      </c>
    </row>
    <row r="1401" spans="1:42" x14ac:dyDescent="0.2">
      <c r="A1401" s="40">
        <v>141</v>
      </c>
      <c r="B1401" s="40">
        <v>1400</v>
      </c>
      <c r="C1401" s="40" t="s">
        <v>241</v>
      </c>
      <c r="D1401" s="38" t="s">
        <v>240</v>
      </c>
      <c r="E1401" s="32" t="s">
        <v>2184</v>
      </c>
      <c r="F1401" s="32" t="s">
        <v>110</v>
      </c>
      <c r="G1401" s="54" t="s">
        <v>2928</v>
      </c>
      <c r="H1401" s="32" t="s">
        <v>242</v>
      </c>
      <c r="I1401" s="32" t="s">
        <v>243</v>
      </c>
      <c r="J1401" s="32" t="s">
        <v>2029</v>
      </c>
      <c r="K1401" s="32" t="s">
        <v>1513</v>
      </c>
      <c r="L1401" s="32" t="s">
        <v>30</v>
      </c>
      <c r="M1401" s="32" t="s">
        <v>30</v>
      </c>
      <c r="N1401" s="40">
        <v>2007</v>
      </c>
      <c r="O1401" s="32">
        <f>VLOOKUP(Data!N968, CPI!$A$2:$B$112, 2, 0)</f>
        <v>214.53700000000001</v>
      </c>
      <c r="P1401" s="32" t="s">
        <v>132</v>
      </c>
      <c r="Q1401" s="32" t="s">
        <v>239</v>
      </c>
      <c r="R1401" s="32" t="s">
        <v>2035</v>
      </c>
      <c r="S1401" s="32">
        <v>3000000</v>
      </c>
      <c r="T1401" s="32" t="s">
        <v>300</v>
      </c>
      <c r="U1401" s="32">
        <f t="shared" si="89"/>
        <v>74.172971369233053</v>
      </c>
      <c r="V1401" s="32" t="s">
        <v>316</v>
      </c>
      <c r="X1401" s="32">
        <f t="shared" si="90"/>
        <v>74.172971369233053</v>
      </c>
      <c r="Y1401" s="32">
        <f>(CPI!$B$112/O1401)*X1401</f>
        <v>105.33744694211711</v>
      </c>
      <c r="Z1401" s="38" t="s">
        <v>262</v>
      </c>
      <c r="AA1401" s="35" t="s">
        <v>1449</v>
      </c>
      <c r="AB1401" s="32">
        <v>40446</v>
      </c>
      <c r="AC1401" s="32" t="s">
        <v>1412</v>
      </c>
      <c r="AH1401" s="32" t="s">
        <v>411</v>
      </c>
      <c r="AJ1401" s="35" t="s">
        <v>2278</v>
      </c>
      <c r="AK1401" s="40" t="s">
        <v>2052</v>
      </c>
      <c r="AL1401" s="32">
        <v>2022</v>
      </c>
      <c r="AM1401" s="32" t="s">
        <v>2053</v>
      </c>
      <c r="AN1401" s="32" t="s">
        <v>2054</v>
      </c>
      <c r="AO1401" s="38" t="s">
        <v>2055</v>
      </c>
      <c r="AP1401" s="35" t="s">
        <v>396</v>
      </c>
    </row>
    <row r="1402" spans="1:42" x14ac:dyDescent="0.2">
      <c r="A1402" s="40">
        <v>141</v>
      </c>
      <c r="B1402" s="40">
        <v>1401</v>
      </c>
      <c r="C1402" s="40" t="s">
        <v>241</v>
      </c>
      <c r="D1402" s="38" t="s">
        <v>240</v>
      </c>
      <c r="E1402" s="32" t="s">
        <v>2184</v>
      </c>
      <c r="F1402" s="32" t="s">
        <v>145</v>
      </c>
      <c r="G1402" s="38" t="s">
        <v>146</v>
      </c>
      <c r="H1402" s="32" t="s">
        <v>242</v>
      </c>
      <c r="I1402" s="32" t="s">
        <v>243</v>
      </c>
      <c r="J1402" s="32" t="s">
        <v>2029</v>
      </c>
      <c r="K1402" s="32" t="s">
        <v>1513</v>
      </c>
      <c r="L1402" s="32" t="s">
        <v>30</v>
      </c>
      <c r="M1402" s="32" t="s">
        <v>30</v>
      </c>
      <c r="N1402" s="40">
        <v>2007</v>
      </c>
      <c r="O1402" s="32">
        <f>VLOOKUP(Data!N969, CPI!$A$2:$B$112, 2, 0)</f>
        <v>232.95699999999999</v>
      </c>
      <c r="P1402" s="32" t="s">
        <v>132</v>
      </c>
      <c r="Q1402" s="32" t="s">
        <v>239</v>
      </c>
      <c r="R1402" s="32" t="s">
        <v>2036</v>
      </c>
      <c r="S1402" s="32">
        <v>7300000</v>
      </c>
      <c r="T1402" s="32" t="s">
        <v>300</v>
      </c>
      <c r="U1402" s="32">
        <f t="shared" si="89"/>
        <v>180.48756366513376</v>
      </c>
      <c r="V1402" s="32" t="s">
        <v>316</v>
      </c>
      <c r="X1402" s="32">
        <f t="shared" si="90"/>
        <v>180.48756366513376</v>
      </c>
      <c r="Y1402" s="32">
        <f>(CPI!$B$112/O1402)*X1402</f>
        <v>236.05371082607968</v>
      </c>
      <c r="Z1402" s="38" t="s">
        <v>262</v>
      </c>
      <c r="AA1402" s="35" t="s">
        <v>1449</v>
      </c>
      <c r="AB1402" s="32">
        <v>40446</v>
      </c>
      <c r="AC1402" s="32" t="s">
        <v>1412</v>
      </c>
      <c r="AH1402" s="32" t="s">
        <v>411</v>
      </c>
      <c r="AJ1402" s="35" t="s">
        <v>2278</v>
      </c>
      <c r="AK1402" s="40" t="s">
        <v>2052</v>
      </c>
      <c r="AL1402" s="32">
        <v>2022</v>
      </c>
      <c r="AM1402" s="32" t="s">
        <v>2053</v>
      </c>
      <c r="AN1402" s="32" t="s">
        <v>2054</v>
      </c>
      <c r="AO1402" s="38" t="s">
        <v>2055</v>
      </c>
      <c r="AP1402" s="35" t="s">
        <v>396</v>
      </c>
    </row>
    <row r="1403" spans="1:42" x14ac:dyDescent="0.2">
      <c r="A1403" s="40">
        <v>141</v>
      </c>
      <c r="B1403" s="40">
        <v>1402</v>
      </c>
      <c r="C1403" s="40" t="s">
        <v>241</v>
      </c>
      <c r="D1403" s="38" t="s">
        <v>240</v>
      </c>
      <c r="E1403" s="32" t="s">
        <v>2184</v>
      </c>
      <c r="F1403" s="32" t="s">
        <v>131</v>
      </c>
      <c r="G1403" s="38" t="s">
        <v>2920</v>
      </c>
      <c r="H1403" s="32" t="s">
        <v>242</v>
      </c>
      <c r="I1403" s="32" t="s">
        <v>243</v>
      </c>
      <c r="J1403" s="32" t="s">
        <v>2029</v>
      </c>
      <c r="K1403" s="32" t="s">
        <v>1513</v>
      </c>
      <c r="L1403" s="32" t="s">
        <v>30</v>
      </c>
      <c r="M1403" s="32" t="s">
        <v>30</v>
      </c>
      <c r="N1403" s="40">
        <v>2007</v>
      </c>
      <c r="O1403" s="32">
        <f>VLOOKUP(Data!N970, CPI!$A$2:$B$112, 2, 0)</f>
        <v>232.95699999999999</v>
      </c>
      <c r="P1403" s="32" t="s">
        <v>132</v>
      </c>
      <c r="Q1403" s="32" t="s">
        <v>239</v>
      </c>
      <c r="R1403" s="32" t="s">
        <v>2037</v>
      </c>
      <c r="S1403" s="32">
        <v>6500000</v>
      </c>
      <c r="T1403" s="32" t="s">
        <v>300</v>
      </c>
      <c r="U1403" s="32">
        <f t="shared" si="89"/>
        <v>160.70810463333828</v>
      </c>
      <c r="V1403" s="32" t="s">
        <v>316</v>
      </c>
      <c r="X1403" s="32">
        <f t="shared" si="90"/>
        <v>160.70810463333828</v>
      </c>
      <c r="Y1403" s="32">
        <f>(CPI!$B$112/O1403)*X1403</f>
        <v>210.184811009523</v>
      </c>
      <c r="Z1403" s="38" t="s">
        <v>262</v>
      </c>
      <c r="AA1403" s="35" t="s">
        <v>1449</v>
      </c>
      <c r="AB1403" s="32">
        <v>40446</v>
      </c>
      <c r="AC1403" s="32" t="s">
        <v>1412</v>
      </c>
      <c r="AH1403" s="32" t="s">
        <v>411</v>
      </c>
      <c r="AJ1403" s="35" t="s">
        <v>2278</v>
      </c>
      <c r="AK1403" s="40" t="s">
        <v>2052</v>
      </c>
      <c r="AL1403" s="32">
        <v>2022</v>
      </c>
      <c r="AM1403" s="32" t="s">
        <v>2053</v>
      </c>
      <c r="AN1403" s="32" t="s">
        <v>2054</v>
      </c>
      <c r="AO1403" s="38" t="s">
        <v>2055</v>
      </c>
      <c r="AP1403" s="35" t="s">
        <v>396</v>
      </c>
    </row>
    <row r="1404" spans="1:42" x14ac:dyDescent="0.2">
      <c r="A1404" s="40">
        <v>141</v>
      </c>
      <c r="B1404" s="40">
        <v>1403</v>
      </c>
      <c r="C1404" s="40" t="s">
        <v>241</v>
      </c>
      <c r="D1404" s="38" t="s">
        <v>240</v>
      </c>
      <c r="E1404" s="32" t="s">
        <v>2184</v>
      </c>
      <c r="F1404" s="59" t="s">
        <v>36</v>
      </c>
      <c r="G1404" s="54" t="s">
        <v>2934</v>
      </c>
      <c r="H1404" s="32" t="s">
        <v>242</v>
      </c>
      <c r="I1404" s="32" t="s">
        <v>243</v>
      </c>
      <c r="J1404" s="32" t="s">
        <v>2029</v>
      </c>
      <c r="K1404" s="32" t="s">
        <v>1513</v>
      </c>
      <c r="L1404" s="32" t="s">
        <v>30</v>
      </c>
      <c r="M1404" s="32" t="s">
        <v>30</v>
      </c>
      <c r="N1404" s="40">
        <v>2007</v>
      </c>
      <c r="O1404" s="32">
        <f>VLOOKUP(Data!N971, CPI!$A$2:$B$112, 2, 0)</f>
        <v>232.95699999999999</v>
      </c>
      <c r="P1404" s="32" t="s">
        <v>132</v>
      </c>
      <c r="Q1404" s="32" t="s">
        <v>239</v>
      </c>
      <c r="R1404" s="32" t="s">
        <v>2038</v>
      </c>
      <c r="S1404" s="32">
        <v>200000</v>
      </c>
      <c r="T1404" s="32" t="s">
        <v>300</v>
      </c>
      <c r="U1404" s="32">
        <f t="shared" si="89"/>
        <v>4.9448647579488698</v>
      </c>
      <c r="V1404" s="32" t="s">
        <v>316</v>
      </c>
      <c r="X1404" s="32">
        <f t="shared" si="90"/>
        <v>4.9448647579488698</v>
      </c>
      <c r="Y1404" s="32">
        <f>(CPI!$B$112/O1404)*X1404</f>
        <v>6.4672249541391693</v>
      </c>
      <c r="Z1404" s="38" t="s">
        <v>262</v>
      </c>
      <c r="AA1404" s="35" t="s">
        <v>1449</v>
      </c>
      <c r="AB1404" s="32">
        <v>40446</v>
      </c>
      <c r="AC1404" s="32" t="s">
        <v>1412</v>
      </c>
      <c r="AH1404" s="32" t="s">
        <v>411</v>
      </c>
      <c r="AJ1404" s="35" t="s">
        <v>2278</v>
      </c>
      <c r="AK1404" s="40" t="s">
        <v>2052</v>
      </c>
      <c r="AL1404" s="32">
        <v>2022</v>
      </c>
      <c r="AM1404" s="32" t="s">
        <v>2053</v>
      </c>
      <c r="AN1404" s="32" t="s">
        <v>2054</v>
      </c>
      <c r="AO1404" s="38" t="s">
        <v>2055</v>
      </c>
      <c r="AP1404" s="35" t="s">
        <v>396</v>
      </c>
    </row>
    <row r="1405" spans="1:42" x14ac:dyDescent="0.2">
      <c r="A1405" s="40">
        <v>141</v>
      </c>
      <c r="B1405" s="40">
        <v>1404</v>
      </c>
      <c r="C1405" s="40" t="s">
        <v>241</v>
      </c>
      <c r="D1405" s="38" t="s">
        <v>240</v>
      </c>
      <c r="E1405" s="32" t="s">
        <v>2184</v>
      </c>
      <c r="F1405" s="32" t="s">
        <v>131</v>
      </c>
      <c r="G1405" s="38" t="s">
        <v>64</v>
      </c>
      <c r="H1405" s="32" t="s">
        <v>242</v>
      </c>
      <c r="I1405" s="32" t="s">
        <v>243</v>
      </c>
      <c r="J1405" s="32" t="s">
        <v>2029</v>
      </c>
      <c r="K1405" s="32" t="s">
        <v>1513</v>
      </c>
      <c r="L1405" s="32" t="s">
        <v>30</v>
      </c>
      <c r="M1405" s="32" t="s">
        <v>30</v>
      </c>
      <c r="N1405" s="40">
        <v>2007</v>
      </c>
      <c r="O1405" s="32">
        <f>VLOOKUP(Data!N972, CPI!$A$2:$B$112, 2, 0)</f>
        <v>237.017</v>
      </c>
      <c r="P1405" s="32" t="s">
        <v>132</v>
      </c>
      <c r="Q1405" s="32" t="s">
        <v>239</v>
      </c>
      <c r="R1405" s="32" t="s">
        <v>2039</v>
      </c>
      <c r="S1405" s="32">
        <v>30000</v>
      </c>
      <c r="T1405" s="32" t="s">
        <v>300</v>
      </c>
      <c r="U1405" s="32">
        <f t="shared" si="89"/>
        <v>0.74172971369233054</v>
      </c>
      <c r="V1405" s="32" t="s">
        <v>316</v>
      </c>
      <c r="X1405" s="32">
        <f t="shared" si="90"/>
        <v>0.74172971369233054</v>
      </c>
      <c r="Y1405" s="32">
        <f>(CPI!$B$112/O1405)*X1405</f>
        <v>0.95346662284228467</v>
      </c>
      <c r="Z1405" s="38" t="s">
        <v>262</v>
      </c>
      <c r="AA1405" s="35" t="s">
        <v>1449</v>
      </c>
      <c r="AB1405" s="32">
        <v>40446</v>
      </c>
      <c r="AC1405" s="32" t="s">
        <v>1412</v>
      </c>
      <c r="AH1405" s="32" t="s">
        <v>411</v>
      </c>
      <c r="AJ1405" s="35" t="s">
        <v>2278</v>
      </c>
      <c r="AK1405" s="40" t="s">
        <v>2052</v>
      </c>
      <c r="AL1405" s="32">
        <v>2022</v>
      </c>
      <c r="AM1405" s="32" t="s">
        <v>2053</v>
      </c>
      <c r="AN1405" s="32" t="s">
        <v>2054</v>
      </c>
      <c r="AO1405" s="38" t="s">
        <v>2055</v>
      </c>
      <c r="AP1405" s="35" t="s">
        <v>396</v>
      </c>
    </row>
    <row r="1406" spans="1:42" x14ac:dyDescent="0.2">
      <c r="A1406" s="40">
        <v>141</v>
      </c>
      <c r="B1406" s="40">
        <v>1405</v>
      </c>
      <c r="C1406" s="40" t="s">
        <v>241</v>
      </c>
      <c r="D1406" s="38" t="s">
        <v>240</v>
      </c>
      <c r="E1406" s="32" t="s">
        <v>2186</v>
      </c>
      <c r="F1406" s="32" t="s">
        <v>21</v>
      </c>
      <c r="G1406" s="38" t="s">
        <v>163</v>
      </c>
      <c r="H1406" s="32" t="s">
        <v>242</v>
      </c>
      <c r="I1406" s="32" t="s">
        <v>243</v>
      </c>
      <c r="J1406" s="32" t="s">
        <v>2029</v>
      </c>
      <c r="K1406" s="32" t="s">
        <v>1513</v>
      </c>
      <c r="L1406" s="32" t="s">
        <v>30</v>
      </c>
      <c r="M1406" s="32" t="s">
        <v>30</v>
      </c>
      <c r="N1406" s="40">
        <v>2007</v>
      </c>
      <c r="O1406" s="32">
        <f>VLOOKUP(Data!N973, CPI!$A$2:$B$112, 2, 0)</f>
        <v>237.017</v>
      </c>
      <c r="P1406" s="32" t="s">
        <v>132</v>
      </c>
      <c r="Q1406" s="32" t="s">
        <v>239</v>
      </c>
      <c r="R1406" s="32" t="s">
        <v>2040</v>
      </c>
      <c r="S1406" s="32">
        <v>100000</v>
      </c>
      <c r="T1406" s="32" t="s">
        <v>300</v>
      </c>
      <c r="U1406" s="32">
        <f t="shared" si="89"/>
        <v>2.4724323789744349</v>
      </c>
      <c r="V1406" s="32" t="s">
        <v>316</v>
      </c>
      <c r="X1406" s="32">
        <f t="shared" si="90"/>
        <v>2.4724323789744349</v>
      </c>
      <c r="Y1406" s="32">
        <f>(CPI!$B$112/O1406)*X1406</f>
        <v>3.1782220761409485</v>
      </c>
      <c r="Z1406" s="38" t="s">
        <v>262</v>
      </c>
      <c r="AA1406" s="35" t="s">
        <v>1449</v>
      </c>
      <c r="AB1406" s="32">
        <v>40446</v>
      </c>
      <c r="AC1406" s="32" t="s">
        <v>1412</v>
      </c>
      <c r="AH1406" s="32" t="s">
        <v>411</v>
      </c>
      <c r="AJ1406" s="35" t="s">
        <v>2278</v>
      </c>
      <c r="AK1406" s="40" t="s">
        <v>2052</v>
      </c>
      <c r="AL1406" s="32">
        <v>2022</v>
      </c>
      <c r="AM1406" s="32" t="s">
        <v>2053</v>
      </c>
      <c r="AN1406" s="32" t="s">
        <v>2054</v>
      </c>
      <c r="AO1406" s="38" t="s">
        <v>2055</v>
      </c>
      <c r="AP1406" s="35" t="s">
        <v>396</v>
      </c>
    </row>
    <row r="1407" spans="1:42" x14ac:dyDescent="0.2">
      <c r="A1407" s="40">
        <v>141</v>
      </c>
      <c r="B1407" s="40">
        <v>1406</v>
      </c>
      <c r="C1407" s="40" t="s">
        <v>241</v>
      </c>
      <c r="D1407" s="38" t="s">
        <v>240</v>
      </c>
      <c r="E1407" s="32" t="s">
        <v>2184</v>
      </c>
      <c r="F1407" s="32" t="s">
        <v>43</v>
      </c>
      <c r="G1407" s="38" t="s">
        <v>44</v>
      </c>
      <c r="H1407" s="32" t="s">
        <v>242</v>
      </c>
      <c r="I1407" s="32" t="s">
        <v>243</v>
      </c>
      <c r="J1407" s="32" t="s">
        <v>2029</v>
      </c>
      <c r="K1407" s="32" t="s">
        <v>1513</v>
      </c>
      <c r="L1407" s="32" t="s">
        <v>30</v>
      </c>
      <c r="M1407" s="32" t="s">
        <v>30</v>
      </c>
      <c r="N1407" s="40">
        <v>2007</v>
      </c>
      <c r="O1407" s="32">
        <f>VLOOKUP(Data!N974, CPI!$A$2:$B$112, 2, 0)</f>
        <v>237.017</v>
      </c>
      <c r="P1407" s="32" t="s">
        <v>132</v>
      </c>
      <c r="Q1407" s="32" t="s">
        <v>239</v>
      </c>
      <c r="R1407" s="32" t="s">
        <v>2041</v>
      </c>
      <c r="S1407" s="32">
        <v>26900000</v>
      </c>
      <c r="T1407" s="32" t="s">
        <v>300</v>
      </c>
      <c r="U1407" s="32">
        <f t="shared" si="89"/>
        <v>665.08430994412299</v>
      </c>
      <c r="V1407" s="32" t="s">
        <v>316</v>
      </c>
      <c r="X1407" s="32">
        <f t="shared" si="90"/>
        <v>665.08430994412299</v>
      </c>
      <c r="Y1407" s="32">
        <f>(CPI!$B$112/O1407)*X1407</f>
        <v>854.94173848191519</v>
      </c>
      <c r="Z1407" s="38" t="s">
        <v>262</v>
      </c>
      <c r="AA1407" s="35" t="s">
        <v>1449</v>
      </c>
      <c r="AB1407" s="32">
        <v>40446</v>
      </c>
      <c r="AC1407" s="32" t="s">
        <v>1412</v>
      </c>
      <c r="AH1407" s="32" t="s">
        <v>411</v>
      </c>
      <c r="AJ1407" s="35" t="s">
        <v>2278</v>
      </c>
      <c r="AK1407" s="40" t="s">
        <v>2052</v>
      </c>
      <c r="AL1407" s="32">
        <v>2022</v>
      </c>
      <c r="AM1407" s="32" t="s">
        <v>2053</v>
      </c>
      <c r="AN1407" s="32" t="s">
        <v>2054</v>
      </c>
      <c r="AO1407" s="38" t="s">
        <v>2055</v>
      </c>
      <c r="AP1407" s="35" t="s">
        <v>396</v>
      </c>
    </row>
    <row r="1408" spans="1:42" x14ac:dyDescent="0.2">
      <c r="A1408" s="40">
        <v>141</v>
      </c>
      <c r="B1408" s="40">
        <v>1407</v>
      </c>
      <c r="C1408" s="40" t="s">
        <v>241</v>
      </c>
      <c r="D1408" s="38" t="s">
        <v>240</v>
      </c>
      <c r="E1408" s="32" t="s">
        <v>2184</v>
      </c>
      <c r="F1408" s="32" t="s">
        <v>47</v>
      </c>
      <c r="G1408" s="54" t="s">
        <v>2932</v>
      </c>
      <c r="H1408" s="32" t="s">
        <v>242</v>
      </c>
      <c r="I1408" s="32" t="s">
        <v>243</v>
      </c>
      <c r="J1408" s="32" t="s">
        <v>2029</v>
      </c>
      <c r="K1408" s="32" t="s">
        <v>1513</v>
      </c>
      <c r="L1408" s="32" t="s">
        <v>30</v>
      </c>
      <c r="M1408" s="32" t="s">
        <v>30</v>
      </c>
      <c r="N1408" s="40">
        <v>2007</v>
      </c>
      <c r="O1408" s="32">
        <f>VLOOKUP(Data!N975, CPI!$A$2:$B$112, 2, 0)</f>
        <v>237.017</v>
      </c>
      <c r="P1408" s="32" t="s">
        <v>132</v>
      </c>
      <c r="Q1408" s="32" t="s">
        <v>239</v>
      </c>
      <c r="R1408" s="32" t="s">
        <v>2042</v>
      </c>
      <c r="S1408" s="32">
        <v>150000</v>
      </c>
      <c r="T1408" s="32" t="s">
        <v>300</v>
      </c>
      <c r="U1408" s="32">
        <f t="shared" si="89"/>
        <v>3.7086485684616526</v>
      </c>
      <c r="V1408" s="32" t="s">
        <v>316</v>
      </c>
      <c r="X1408" s="32">
        <f t="shared" si="90"/>
        <v>3.7086485684616526</v>
      </c>
      <c r="Y1408" s="32">
        <f>(CPI!$B$112/O1408)*X1408</f>
        <v>4.7673331142114233</v>
      </c>
      <c r="Z1408" s="38" t="s">
        <v>262</v>
      </c>
      <c r="AA1408" s="35" t="s">
        <v>1449</v>
      </c>
      <c r="AB1408" s="32">
        <v>40446</v>
      </c>
      <c r="AC1408" s="32" t="s">
        <v>1412</v>
      </c>
      <c r="AH1408" s="32" t="s">
        <v>411</v>
      </c>
      <c r="AJ1408" s="35" t="s">
        <v>2278</v>
      </c>
      <c r="AK1408" s="40" t="s">
        <v>2052</v>
      </c>
      <c r="AL1408" s="32">
        <v>2022</v>
      </c>
      <c r="AM1408" s="32" t="s">
        <v>2053</v>
      </c>
      <c r="AN1408" s="32" t="s">
        <v>2054</v>
      </c>
      <c r="AO1408" s="38" t="s">
        <v>2055</v>
      </c>
      <c r="AP1408" s="35" t="s">
        <v>396</v>
      </c>
    </row>
    <row r="1409" spans="1:42" x14ac:dyDescent="0.2">
      <c r="A1409" s="40">
        <v>141</v>
      </c>
      <c r="B1409" s="40">
        <v>1408</v>
      </c>
      <c r="C1409" s="40" t="s">
        <v>241</v>
      </c>
      <c r="D1409" s="38" t="s">
        <v>240</v>
      </c>
      <c r="E1409" s="32" t="s">
        <v>2184</v>
      </c>
      <c r="F1409" s="32" t="s">
        <v>43</v>
      </c>
      <c r="G1409" s="38" t="s">
        <v>46</v>
      </c>
      <c r="H1409" s="32" t="s">
        <v>242</v>
      </c>
      <c r="I1409" s="32" t="s">
        <v>243</v>
      </c>
      <c r="J1409" s="32" t="s">
        <v>2029</v>
      </c>
      <c r="K1409" s="32" t="s">
        <v>1513</v>
      </c>
      <c r="L1409" s="32" t="s">
        <v>30</v>
      </c>
      <c r="M1409" s="32" t="s">
        <v>30</v>
      </c>
      <c r="N1409" s="40">
        <v>2007</v>
      </c>
      <c r="O1409" s="32">
        <f>VLOOKUP(Data!N976, CPI!$A$2:$B$112, 2, 0)</f>
        <v>237.017</v>
      </c>
      <c r="P1409" s="32" t="s">
        <v>132</v>
      </c>
      <c r="Q1409" s="32" t="s">
        <v>239</v>
      </c>
      <c r="R1409" s="32" t="s">
        <v>2043</v>
      </c>
      <c r="S1409" s="32">
        <v>300000</v>
      </c>
      <c r="T1409" s="32" t="s">
        <v>300</v>
      </c>
      <c r="U1409" s="32">
        <f t="shared" si="89"/>
        <v>7.4172971369233052</v>
      </c>
      <c r="V1409" s="32" t="s">
        <v>316</v>
      </c>
      <c r="X1409" s="32">
        <f t="shared" si="90"/>
        <v>7.4172971369233052</v>
      </c>
      <c r="Y1409" s="32">
        <f>(CPI!$B$112/O1409)*X1409</f>
        <v>9.5346662284228465</v>
      </c>
      <c r="Z1409" s="38" t="s">
        <v>262</v>
      </c>
      <c r="AA1409" s="35" t="s">
        <v>1449</v>
      </c>
      <c r="AB1409" s="32">
        <v>40446</v>
      </c>
      <c r="AC1409" s="32" t="s">
        <v>1412</v>
      </c>
      <c r="AH1409" s="32" t="s">
        <v>411</v>
      </c>
      <c r="AJ1409" s="35" t="s">
        <v>2278</v>
      </c>
      <c r="AK1409" s="40" t="s">
        <v>2052</v>
      </c>
      <c r="AL1409" s="32">
        <v>2022</v>
      </c>
      <c r="AM1409" s="32" t="s">
        <v>2053</v>
      </c>
      <c r="AN1409" s="32" t="s">
        <v>2054</v>
      </c>
      <c r="AO1409" s="38" t="s">
        <v>2055</v>
      </c>
      <c r="AP1409" s="35" t="s">
        <v>396</v>
      </c>
    </row>
    <row r="1410" spans="1:42" x14ac:dyDescent="0.2">
      <c r="A1410" s="40">
        <v>141</v>
      </c>
      <c r="B1410" s="40">
        <v>1409</v>
      </c>
      <c r="C1410" s="40" t="s">
        <v>241</v>
      </c>
      <c r="D1410" s="38" t="s">
        <v>240</v>
      </c>
      <c r="E1410" s="32" t="s">
        <v>2887</v>
      </c>
      <c r="F1410" s="32" t="s">
        <v>121</v>
      </c>
      <c r="G1410" s="38" t="s">
        <v>121</v>
      </c>
      <c r="H1410" s="32" t="s">
        <v>242</v>
      </c>
      <c r="I1410" s="32" t="s">
        <v>243</v>
      </c>
      <c r="J1410" s="32" t="s">
        <v>2029</v>
      </c>
      <c r="K1410" s="32" t="s">
        <v>1513</v>
      </c>
      <c r="L1410" s="32" t="s">
        <v>30</v>
      </c>
      <c r="M1410" s="32" t="s">
        <v>30</v>
      </c>
      <c r="N1410" s="40">
        <v>2007</v>
      </c>
      <c r="O1410" s="32">
        <f>VLOOKUP(Data!N977, CPI!$A$2:$B$112, 2, 0)</f>
        <v>245.12</v>
      </c>
      <c r="P1410" s="32" t="s">
        <v>132</v>
      </c>
      <c r="Q1410" s="32" t="s">
        <v>239</v>
      </c>
      <c r="R1410" s="32" t="s">
        <v>2044</v>
      </c>
      <c r="S1410" s="32">
        <v>3300000</v>
      </c>
      <c r="T1410" s="32" t="s">
        <v>300</v>
      </c>
      <c r="U1410" s="32">
        <f t="shared" si="89"/>
        <v>81.590268506156363</v>
      </c>
      <c r="V1410" s="32" t="s">
        <v>316</v>
      </c>
      <c r="X1410" s="32">
        <f t="shared" si="90"/>
        <v>81.590268506156363</v>
      </c>
      <c r="Y1410" s="32">
        <f>(CPI!$B$112/O1410)*X1410</f>
        <v>101.41423727187939</v>
      </c>
      <c r="Z1410" s="38" t="s">
        <v>262</v>
      </c>
      <c r="AA1410" s="35" t="s">
        <v>1449</v>
      </c>
      <c r="AB1410" s="32">
        <v>40446</v>
      </c>
      <c r="AC1410" s="32" t="s">
        <v>1412</v>
      </c>
      <c r="AH1410" s="32" t="s">
        <v>411</v>
      </c>
      <c r="AJ1410" s="35" t="s">
        <v>2278</v>
      </c>
      <c r="AK1410" s="40" t="s">
        <v>2052</v>
      </c>
      <c r="AL1410" s="32">
        <v>2022</v>
      </c>
      <c r="AM1410" s="32" t="s">
        <v>2053</v>
      </c>
      <c r="AN1410" s="32" t="s">
        <v>2054</v>
      </c>
      <c r="AO1410" s="38" t="s">
        <v>2055</v>
      </c>
      <c r="AP1410" s="35" t="s">
        <v>396</v>
      </c>
    </row>
    <row r="1411" spans="1:42" x14ac:dyDescent="0.2">
      <c r="A1411" s="40">
        <v>141</v>
      </c>
      <c r="B1411" s="40">
        <v>1410</v>
      </c>
      <c r="C1411" s="40" t="s">
        <v>241</v>
      </c>
      <c r="D1411" s="38" t="s">
        <v>240</v>
      </c>
      <c r="E1411" s="32" t="s">
        <v>2887</v>
      </c>
      <c r="F1411" s="32" t="s">
        <v>10</v>
      </c>
      <c r="G1411" s="38" t="s">
        <v>19</v>
      </c>
      <c r="H1411" s="32" t="s">
        <v>242</v>
      </c>
      <c r="I1411" s="32" t="s">
        <v>243</v>
      </c>
      <c r="J1411" s="32" t="s">
        <v>2029</v>
      </c>
      <c r="K1411" s="32" t="s">
        <v>1513</v>
      </c>
      <c r="L1411" s="32" t="s">
        <v>30</v>
      </c>
      <c r="M1411" s="32" t="s">
        <v>30</v>
      </c>
      <c r="N1411" s="40">
        <v>2007</v>
      </c>
      <c r="O1411" s="32">
        <f>VLOOKUP(Data!N978, CPI!$A$2:$B$112, 2, 0)</f>
        <v>245.12</v>
      </c>
      <c r="P1411" s="32" t="s">
        <v>132</v>
      </c>
      <c r="Q1411" s="32" t="s">
        <v>239</v>
      </c>
      <c r="R1411" s="32" t="s">
        <v>2045</v>
      </c>
      <c r="S1411" s="32">
        <v>100000</v>
      </c>
      <c r="T1411" s="32" t="s">
        <v>300</v>
      </c>
      <c r="U1411" s="32">
        <f t="shared" si="89"/>
        <v>2.4724323789744349</v>
      </c>
      <c r="V1411" s="32" t="s">
        <v>316</v>
      </c>
      <c r="X1411" s="32">
        <f t="shared" si="90"/>
        <v>2.4724323789744349</v>
      </c>
      <c r="Y1411" s="32">
        <f>(CPI!$B$112/O1411)*X1411</f>
        <v>3.0731587052084657</v>
      </c>
      <c r="Z1411" s="38" t="s">
        <v>262</v>
      </c>
      <c r="AA1411" s="35" t="s">
        <v>1449</v>
      </c>
      <c r="AB1411" s="32">
        <v>40446</v>
      </c>
      <c r="AC1411" s="32" t="s">
        <v>1412</v>
      </c>
      <c r="AH1411" s="32" t="s">
        <v>411</v>
      </c>
      <c r="AJ1411" s="35" t="s">
        <v>2278</v>
      </c>
      <c r="AK1411" s="40" t="s">
        <v>2052</v>
      </c>
      <c r="AL1411" s="32">
        <v>2022</v>
      </c>
      <c r="AM1411" s="32" t="s">
        <v>2053</v>
      </c>
      <c r="AN1411" s="32" t="s">
        <v>2054</v>
      </c>
      <c r="AO1411" s="38" t="s">
        <v>2055</v>
      </c>
      <c r="AP1411" s="35" t="s">
        <v>396</v>
      </c>
    </row>
    <row r="1412" spans="1:42" x14ac:dyDescent="0.2">
      <c r="A1412" s="40">
        <v>141</v>
      </c>
      <c r="B1412" s="40">
        <v>1411</v>
      </c>
      <c r="C1412" s="40" t="s">
        <v>241</v>
      </c>
      <c r="D1412" s="38" t="s">
        <v>240</v>
      </c>
      <c r="E1412" s="32" t="s">
        <v>2186</v>
      </c>
      <c r="F1412" s="32" t="s">
        <v>29</v>
      </c>
      <c r="G1412" s="38" t="s">
        <v>29</v>
      </c>
      <c r="H1412" s="32" t="s">
        <v>242</v>
      </c>
      <c r="I1412" s="32" t="s">
        <v>243</v>
      </c>
      <c r="J1412" s="32" t="s">
        <v>2029</v>
      </c>
      <c r="K1412" s="32" t="s">
        <v>1513</v>
      </c>
      <c r="L1412" s="32" t="s">
        <v>30</v>
      </c>
      <c r="M1412" s="32" t="s">
        <v>30</v>
      </c>
      <c r="N1412" s="40">
        <v>2007</v>
      </c>
      <c r="O1412" s="32">
        <f>VLOOKUP(Data!N979, CPI!$A$2:$B$112, 2, 0)</f>
        <v>245.12</v>
      </c>
      <c r="P1412" s="32" t="s">
        <v>132</v>
      </c>
      <c r="Q1412" s="32" t="s">
        <v>239</v>
      </c>
      <c r="R1412" s="32" t="s">
        <v>2046</v>
      </c>
      <c r="S1412" s="32">
        <v>60700000</v>
      </c>
      <c r="T1412" s="32" t="s">
        <v>300</v>
      </c>
      <c r="U1412" s="32">
        <f t="shared" si="89"/>
        <v>1500.7664540374822</v>
      </c>
      <c r="V1412" s="32" t="s">
        <v>316</v>
      </c>
      <c r="X1412" s="32">
        <f t="shared" si="90"/>
        <v>1500.7664540374822</v>
      </c>
      <c r="Y1412" s="32">
        <f>(CPI!$B$112/O1412)*X1412</f>
        <v>1865.4073340615389</v>
      </c>
      <c r="Z1412" s="38" t="s">
        <v>262</v>
      </c>
      <c r="AA1412" s="35" t="s">
        <v>1449</v>
      </c>
      <c r="AB1412" s="32">
        <v>40446</v>
      </c>
      <c r="AC1412" s="32" t="s">
        <v>1412</v>
      </c>
      <c r="AH1412" s="32" t="s">
        <v>411</v>
      </c>
      <c r="AJ1412" s="35" t="s">
        <v>2278</v>
      </c>
      <c r="AK1412" s="40" t="s">
        <v>2052</v>
      </c>
      <c r="AL1412" s="32">
        <v>2022</v>
      </c>
      <c r="AM1412" s="32" t="s">
        <v>2053</v>
      </c>
      <c r="AN1412" s="32" t="s">
        <v>2054</v>
      </c>
      <c r="AO1412" s="38" t="s">
        <v>2055</v>
      </c>
      <c r="AP1412" s="35" t="s">
        <v>396</v>
      </c>
    </row>
    <row r="1413" spans="1:42" x14ac:dyDescent="0.2">
      <c r="A1413" s="40">
        <v>141</v>
      </c>
      <c r="B1413" s="40">
        <v>1412</v>
      </c>
      <c r="C1413" s="40" t="s">
        <v>241</v>
      </c>
      <c r="D1413" s="38" t="s">
        <v>240</v>
      </c>
      <c r="E1413" s="32" t="s">
        <v>2183</v>
      </c>
      <c r="F1413" s="32" t="s">
        <v>244</v>
      </c>
      <c r="G1413" s="38" t="s">
        <v>2908</v>
      </c>
      <c r="H1413" s="32" t="s">
        <v>242</v>
      </c>
      <c r="I1413" s="32" t="s">
        <v>243</v>
      </c>
      <c r="J1413" s="32" t="s">
        <v>2029</v>
      </c>
      <c r="K1413" s="32" t="s">
        <v>1513</v>
      </c>
      <c r="L1413" s="32" t="s">
        <v>30</v>
      </c>
      <c r="M1413" s="32" t="s">
        <v>30</v>
      </c>
      <c r="N1413" s="40">
        <v>2017</v>
      </c>
      <c r="O1413" s="32">
        <f>VLOOKUP(Data!N980, CPI!$A$2:$B$112, 2, 0)</f>
        <v>236.73599999999999</v>
      </c>
      <c r="P1413" s="32" t="s">
        <v>132</v>
      </c>
      <c r="Q1413" s="32" t="s">
        <v>239</v>
      </c>
      <c r="R1413" s="32" t="s">
        <v>2030</v>
      </c>
      <c r="S1413" s="32">
        <v>3000000</v>
      </c>
      <c r="T1413" s="32" t="s">
        <v>300</v>
      </c>
      <c r="U1413" s="32">
        <f t="shared" si="89"/>
        <v>74.172971369233053</v>
      </c>
      <c r="V1413" s="32" t="s">
        <v>316</v>
      </c>
      <c r="X1413" s="32">
        <f t="shared" si="90"/>
        <v>74.172971369233053</v>
      </c>
      <c r="Y1413" s="32">
        <f>(CPI!$B$112/O1413)*X1413</f>
        <v>95.4598365040424</v>
      </c>
      <c r="Z1413" s="38" t="s">
        <v>262</v>
      </c>
      <c r="AA1413" s="35" t="s">
        <v>1449</v>
      </c>
      <c r="AB1413" s="32">
        <v>40446</v>
      </c>
      <c r="AC1413" s="32" t="s">
        <v>1412</v>
      </c>
      <c r="AH1413" s="32" t="s">
        <v>411</v>
      </c>
      <c r="AJ1413" s="35" t="s">
        <v>2278</v>
      </c>
      <c r="AK1413" s="40" t="s">
        <v>2052</v>
      </c>
      <c r="AL1413" s="32">
        <v>2022</v>
      </c>
      <c r="AM1413" s="32" t="s">
        <v>2053</v>
      </c>
      <c r="AN1413" s="32" t="s">
        <v>2054</v>
      </c>
      <c r="AO1413" s="38" t="s">
        <v>2055</v>
      </c>
      <c r="AP1413" s="35" t="s">
        <v>396</v>
      </c>
    </row>
    <row r="1414" spans="1:42" x14ac:dyDescent="0.2">
      <c r="A1414" s="40">
        <v>141</v>
      </c>
      <c r="B1414" s="40">
        <v>1413</v>
      </c>
      <c r="C1414" s="40" t="s">
        <v>241</v>
      </c>
      <c r="D1414" s="38" t="s">
        <v>240</v>
      </c>
      <c r="E1414" s="32" t="s">
        <v>2183</v>
      </c>
      <c r="F1414" s="32" t="s">
        <v>237</v>
      </c>
      <c r="G1414" s="36" t="s">
        <v>2907</v>
      </c>
      <c r="H1414" s="32" t="s">
        <v>242</v>
      </c>
      <c r="I1414" s="32" t="s">
        <v>243</v>
      </c>
      <c r="J1414" s="32" t="s">
        <v>2029</v>
      </c>
      <c r="K1414" s="32" t="s">
        <v>1513</v>
      </c>
      <c r="L1414" s="32" t="s">
        <v>30</v>
      </c>
      <c r="M1414" s="32" t="s">
        <v>30</v>
      </c>
      <c r="N1414" s="40">
        <v>2017</v>
      </c>
      <c r="O1414" s="32">
        <f>VLOOKUP(Data!N981, CPI!$A$2:$B$112, 2, 0)</f>
        <v>236.73599999999999</v>
      </c>
      <c r="P1414" s="32" t="s">
        <v>132</v>
      </c>
      <c r="Q1414" s="32" t="s">
        <v>239</v>
      </c>
      <c r="R1414" s="32" t="s">
        <v>2031</v>
      </c>
      <c r="S1414" s="32">
        <v>1200000</v>
      </c>
      <c r="T1414" s="32" t="s">
        <v>300</v>
      </c>
      <c r="U1414" s="32">
        <f t="shared" si="89"/>
        <v>29.669188547693221</v>
      </c>
      <c r="V1414" s="32" t="s">
        <v>316</v>
      </c>
      <c r="X1414" s="32">
        <f t="shared" si="90"/>
        <v>29.669188547693221</v>
      </c>
      <c r="Y1414" s="32">
        <f>(CPI!$B$112/O1414)*X1414</f>
        <v>38.183934601616954</v>
      </c>
      <c r="Z1414" s="38" t="s">
        <v>262</v>
      </c>
      <c r="AA1414" s="35" t="s">
        <v>1449</v>
      </c>
      <c r="AB1414" s="32">
        <v>40446</v>
      </c>
      <c r="AC1414" s="32" t="s">
        <v>1412</v>
      </c>
      <c r="AH1414" s="32" t="s">
        <v>411</v>
      </c>
      <c r="AJ1414" s="35" t="s">
        <v>2278</v>
      </c>
      <c r="AK1414" s="40" t="s">
        <v>2052</v>
      </c>
      <c r="AL1414" s="32">
        <v>2022</v>
      </c>
      <c r="AM1414" s="32" t="s">
        <v>2053</v>
      </c>
      <c r="AN1414" s="32" t="s">
        <v>2054</v>
      </c>
      <c r="AO1414" s="38" t="s">
        <v>2055</v>
      </c>
      <c r="AP1414" s="35" t="s">
        <v>396</v>
      </c>
    </row>
    <row r="1415" spans="1:42" x14ac:dyDescent="0.2">
      <c r="A1415" s="40">
        <v>141</v>
      </c>
      <c r="B1415" s="40">
        <v>1414</v>
      </c>
      <c r="C1415" s="40" t="s">
        <v>241</v>
      </c>
      <c r="D1415" s="38" t="s">
        <v>240</v>
      </c>
      <c r="E1415" s="32" t="s">
        <v>2183</v>
      </c>
      <c r="F1415" s="32" t="s">
        <v>126</v>
      </c>
      <c r="G1415" s="54" t="s">
        <v>2909</v>
      </c>
      <c r="H1415" s="32" t="s">
        <v>242</v>
      </c>
      <c r="I1415" s="32" t="s">
        <v>243</v>
      </c>
      <c r="J1415" s="32" t="s">
        <v>2029</v>
      </c>
      <c r="K1415" s="32" t="s">
        <v>1513</v>
      </c>
      <c r="L1415" s="32" t="s">
        <v>30</v>
      </c>
      <c r="M1415" s="32" t="s">
        <v>30</v>
      </c>
      <c r="N1415" s="40">
        <v>2017</v>
      </c>
      <c r="O1415" s="32">
        <f>VLOOKUP(Data!N982, CPI!$A$2:$B$112, 2, 0)</f>
        <v>224.93899999999999</v>
      </c>
      <c r="P1415" s="32" t="s">
        <v>132</v>
      </c>
      <c r="Q1415" s="32" t="s">
        <v>239</v>
      </c>
      <c r="R1415" s="32" t="s">
        <v>2032</v>
      </c>
      <c r="S1415" s="32">
        <v>9700000</v>
      </c>
      <c r="T1415" s="32" t="s">
        <v>300</v>
      </c>
      <c r="U1415" s="32">
        <f t="shared" si="89"/>
        <v>239.82594076052021</v>
      </c>
      <c r="V1415" s="32" t="s">
        <v>316</v>
      </c>
      <c r="X1415" s="32">
        <f t="shared" si="90"/>
        <v>239.82594076052021</v>
      </c>
      <c r="Y1415" s="32">
        <f>(CPI!$B$112/O1415)*X1415</f>
        <v>324.84090440789652</v>
      </c>
      <c r="Z1415" s="38" t="s">
        <v>262</v>
      </c>
      <c r="AA1415" s="35" t="s">
        <v>1449</v>
      </c>
      <c r="AB1415" s="32">
        <v>40446</v>
      </c>
      <c r="AC1415" s="32" t="s">
        <v>1412</v>
      </c>
      <c r="AH1415" s="32" t="s">
        <v>411</v>
      </c>
      <c r="AJ1415" s="35" t="s">
        <v>2278</v>
      </c>
      <c r="AK1415" s="40" t="s">
        <v>2052</v>
      </c>
      <c r="AL1415" s="32">
        <v>2022</v>
      </c>
      <c r="AM1415" s="32" t="s">
        <v>2053</v>
      </c>
      <c r="AN1415" s="32" t="s">
        <v>2054</v>
      </c>
      <c r="AO1415" s="38" t="s">
        <v>2055</v>
      </c>
      <c r="AP1415" s="35" t="s">
        <v>396</v>
      </c>
    </row>
    <row r="1416" spans="1:42" x14ac:dyDescent="0.2">
      <c r="A1416" s="40">
        <v>141</v>
      </c>
      <c r="B1416" s="40">
        <v>1415</v>
      </c>
      <c r="C1416" s="40" t="s">
        <v>241</v>
      </c>
      <c r="D1416" s="38" t="s">
        <v>240</v>
      </c>
      <c r="E1416" s="32" t="s">
        <v>2183</v>
      </c>
      <c r="F1416" s="32" t="s">
        <v>48</v>
      </c>
      <c r="G1416" s="38" t="s">
        <v>2913</v>
      </c>
      <c r="H1416" s="32" t="s">
        <v>242</v>
      </c>
      <c r="I1416" s="32" t="s">
        <v>243</v>
      </c>
      <c r="J1416" s="32" t="s">
        <v>2029</v>
      </c>
      <c r="K1416" s="32" t="s">
        <v>1513</v>
      </c>
      <c r="L1416" s="32" t="s">
        <v>30</v>
      </c>
      <c r="M1416" s="32" t="s">
        <v>30</v>
      </c>
      <c r="N1416" s="40">
        <v>2017</v>
      </c>
      <c r="O1416" s="32">
        <f>VLOOKUP(Data!N983, CPI!$A$2:$B$112, 2, 0)</f>
        <v>224.93899999999999</v>
      </c>
      <c r="P1416" s="32" t="s">
        <v>132</v>
      </c>
      <c r="Q1416" s="32" t="s">
        <v>239</v>
      </c>
      <c r="R1416" s="32" t="s">
        <v>2033</v>
      </c>
      <c r="S1416" s="32">
        <v>1300000</v>
      </c>
      <c r="T1416" s="32" t="s">
        <v>300</v>
      </c>
      <c r="U1416" s="32">
        <f t="shared" si="89"/>
        <v>32.141620926667656</v>
      </c>
      <c r="V1416" s="32" t="s">
        <v>316</v>
      </c>
      <c r="X1416" s="32">
        <f t="shared" si="90"/>
        <v>32.141620926667656</v>
      </c>
      <c r="Y1416" s="32">
        <f>(CPI!$B$112/O1416)*X1416</f>
        <v>43.535378941264476</v>
      </c>
      <c r="Z1416" s="38" t="s">
        <v>262</v>
      </c>
      <c r="AA1416" s="35" t="s">
        <v>1449</v>
      </c>
      <c r="AB1416" s="32">
        <v>40446</v>
      </c>
      <c r="AC1416" s="32" t="s">
        <v>1412</v>
      </c>
      <c r="AH1416" s="32" t="s">
        <v>411</v>
      </c>
      <c r="AJ1416" s="35" t="s">
        <v>2278</v>
      </c>
      <c r="AK1416" s="40" t="s">
        <v>2052</v>
      </c>
      <c r="AL1416" s="32">
        <v>2022</v>
      </c>
      <c r="AM1416" s="32" t="s">
        <v>2053</v>
      </c>
      <c r="AN1416" s="32" t="s">
        <v>2054</v>
      </c>
      <c r="AO1416" s="38" t="s">
        <v>2055</v>
      </c>
      <c r="AP1416" s="35" t="s">
        <v>396</v>
      </c>
    </row>
    <row r="1417" spans="1:42" x14ac:dyDescent="0.2">
      <c r="A1417" s="40">
        <v>141</v>
      </c>
      <c r="B1417" s="40">
        <v>1416</v>
      </c>
      <c r="C1417" s="40" t="s">
        <v>241</v>
      </c>
      <c r="D1417" s="38" t="s">
        <v>240</v>
      </c>
      <c r="E1417" s="32" t="s">
        <v>2183</v>
      </c>
      <c r="F1417" s="32" t="s">
        <v>244</v>
      </c>
      <c r="G1417" s="38" t="s">
        <v>1102</v>
      </c>
      <c r="H1417" s="32" t="s">
        <v>242</v>
      </c>
      <c r="I1417" s="32" t="s">
        <v>243</v>
      </c>
      <c r="J1417" s="32" t="s">
        <v>2029</v>
      </c>
      <c r="K1417" s="32" t="s">
        <v>1513</v>
      </c>
      <c r="L1417" s="32" t="s">
        <v>30</v>
      </c>
      <c r="M1417" s="32" t="s">
        <v>30</v>
      </c>
      <c r="N1417" s="40">
        <v>2017</v>
      </c>
      <c r="O1417" s="32">
        <f>VLOOKUP(Data!N984, CPI!$A$2:$B$112, 2, 0)</f>
        <v>224.93899999999999</v>
      </c>
      <c r="P1417" s="32" t="s">
        <v>132</v>
      </c>
      <c r="Q1417" s="32" t="s">
        <v>239</v>
      </c>
      <c r="R1417" s="32" t="s">
        <v>2034</v>
      </c>
      <c r="S1417" s="32">
        <v>800000</v>
      </c>
      <c r="T1417" s="32" t="s">
        <v>300</v>
      </c>
      <c r="U1417" s="32">
        <f t="shared" si="89"/>
        <v>19.779459031795479</v>
      </c>
      <c r="V1417" s="32" t="s">
        <v>316</v>
      </c>
      <c r="X1417" s="32">
        <f t="shared" si="90"/>
        <v>19.779459031795479</v>
      </c>
      <c r="Y1417" s="32">
        <f>(CPI!$B$112/O1417)*X1417</f>
        <v>26.791002425393522</v>
      </c>
      <c r="Z1417" s="38" t="s">
        <v>262</v>
      </c>
      <c r="AA1417" s="35" t="s">
        <v>1449</v>
      </c>
      <c r="AB1417" s="32">
        <v>40446</v>
      </c>
      <c r="AC1417" s="32" t="s">
        <v>1412</v>
      </c>
      <c r="AH1417" s="32" t="s">
        <v>411</v>
      </c>
      <c r="AJ1417" s="35" t="s">
        <v>2278</v>
      </c>
      <c r="AK1417" s="40" t="s">
        <v>2052</v>
      </c>
      <c r="AL1417" s="32">
        <v>2022</v>
      </c>
      <c r="AM1417" s="32" t="s">
        <v>2053</v>
      </c>
      <c r="AN1417" s="32" t="s">
        <v>2054</v>
      </c>
      <c r="AO1417" s="38" t="s">
        <v>2055</v>
      </c>
      <c r="AP1417" s="35" t="s">
        <v>396</v>
      </c>
    </row>
    <row r="1418" spans="1:42" x14ac:dyDescent="0.2">
      <c r="A1418" s="40">
        <v>141</v>
      </c>
      <c r="B1418" s="40">
        <v>1417</v>
      </c>
      <c r="C1418" s="40" t="s">
        <v>241</v>
      </c>
      <c r="D1418" s="38" t="s">
        <v>240</v>
      </c>
      <c r="E1418" s="32" t="s">
        <v>2184</v>
      </c>
      <c r="F1418" s="32" t="s">
        <v>110</v>
      </c>
      <c r="G1418" s="54" t="s">
        <v>2928</v>
      </c>
      <c r="H1418" s="32" t="s">
        <v>242</v>
      </c>
      <c r="I1418" s="32" t="s">
        <v>243</v>
      </c>
      <c r="J1418" s="32" t="s">
        <v>2029</v>
      </c>
      <c r="K1418" s="32" t="s">
        <v>1513</v>
      </c>
      <c r="L1418" s="32" t="s">
        <v>30</v>
      </c>
      <c r="M1418" s="32" t="s">
        <v>30</v>
      </c>
      <c r="N1418" s="40">
        <v>2017</v>
      </c>
      <c r="O1418" s="32">
        <f>VLOOKUP(Data!N985, CPI!$A$2:$B$112, 2, 0)</f>
        <v>224.93899999999999</v>
      </c>
      <c r="P1418" s="32" t="s">
        <v>132</v>
      </c>
      <c r="Q1418" s="32" t="s">
        <v>239</v>
      </c>
      <c r="R1418" s="32" t="s">
        <v>2035</v>
      </c>
      <c r="S1418" s="32">
        <v>2900000</v>
      </c>
      <c r="T1418" s="32" t="s">
        <v>300</v>
      </c>
      <c r="U1418" s="32">
        <f t="shared" si="89"/>
        <v>71.700538990258622</v>
      </c>
      <c r="V1418" s="32" t="s">
        <v>316</v>
      </c>
      <c r="X1418" s="32">
        <f t="shared" si="90"/>
        <v>71.700538990258622</v>
      </c>
      <c r="Y1418" s="32">
        <f>(CPI!$B$112/O1418)*X1418</f>
        <v>97.117383792051527</v>
      </c>
      <c r="Z1418" s="38" t="s">
        <v>262</v>
      </c>
      <c r="AA1418" s="35" t="s">
        <v>1449</v>
      </c>
      <c r="AB1418" s="32">
        <v>40446</v>
      </c>
      <c r="AC1418" s="32" t="s">
        <v>1412</v>
      </c>
      <c r="AH1418" s="32" t="s">
        <v>411</v>
      </c>
      <c r="AJ1418" s="35" t="s">
        <v>2278</v>
      </c>
      <c r="AK1418" s="40" t="s">
        <v>2052</v>
      </c>
      <c r="AL1418" s="32">
        <v>2022</v>
      </c>
      <c r="AM1418" s="32" t="s">
        <v>2053</v>
      </c>
      <c r="AN1418" s="32" t="s">
        <v>2054</v>
      </c>
      <c r="AO1418" s="38" t="s">
        <v>2055</v>
      </c>
      <c r="AP1418" s="35" t="s">
        <v>396</v>
      </c>
    </row>
    <row r="1419" spans="1:42" x14ac:dyDescent="0.2">
      <c r="A1419" s="40">
        <v>141</v>
      </c>
      <c r="B1419" s="40">
        <v>1418</v>
      </c>
      <c r="C1419" s="40" t="s">
        <v>241</v>
      </c>
      <c r="D1419" s="38" t="s">
        <v>240</v>
      </c>
      <c r="E1419" s="32" t="s">
        <v>2184</v>
      </c>
      <c r="F1419" s="32" t="s">
        <v>145</v>
      </c>
      <c r="G1419" s="38" t="s">
        <v>146</v>
      </c>
      <c r="H1419" s="32" t="s">
        <v>242</v>
      </c>
      <c r="I1419" s="32" t="s">
        <v>243</v>
      </c>
      <c r="J1419" s="32" t="s">
        <v>2029</v>
      </c>
      <c r="K1419" s="32" t="s">
        <v>1513</v>
      </c>
      <c r="L1419" s="32" t="s">
        <v>30</v>
      </c>
      <c r="M1419" s="32" t="s">
        <v>30</v>
      </c>
      <c r="N1419" s="40">
        <v>2017</v>
      </c>
      <c r="O1419" s="32">
        <f>VLOOKUP(Data!N986, CPI!$A$2:$B$112, 2, 0)</f>
        <v>224.93899999999999</v>
      </c>
      <c r="P1419" s="32" t="s">
        <v>132</v>
      </c>
      <c r="Q1419" s="32" t="s">
        <v>239</v>
      </c>
      <c r="R1419" s="32" t="s">
        <v>2036</v>
      </c>
      <c r="S1419" s="32">
        <v>7600000</v>
      </c>
      <c r="T1419" s="32" t="s">
        <v>300</v>
      </c>
      <c r="U1419" s="32">
        <f t="shared" si="89"/>
        <v>187.90486080205707</v>
      </c>
      <c r="V1419" s="32" t="s">
        <v>316</v>
      </c>
      <c r="X1419" s="32">
        <f t="shared" si="90"/>
        <v>187.90486080205707</v>
      </c>
      <c r="Y1419" s="32">
        <f>(CPI!$B$112/O1419)*X1419</f>
        <v>254.5145230412385</v>
      </c>
      <c r="Z1419" s="38" t="s">
        <v>262</v>
      </c>
      <c r="AA1419" s="35" t="s">
        <v>1449</v>
      </c>
      <c r="AB1419" s="32">
        <v>40446</v>
      </c>
      <c r="AC1419" s="32" t="s">
        <v>1412</v>
      </c>
      <c r="AH1419" s="32" t="s">
        <v>411</v>
      </c>
      <c r="AJ1419" s="35" t="s">
        <v>2278</v>
      </c>
      <c r="AK1419" s="40" t="s">
        <v>2052</v>
      </c>
      <c r="AL1419" s="32">
        <v>2022</v>
      </c>
      <c r="AM1419" s="32" t="s">
        <v>2053</v>
      </c>
      <c r="AN1419" s="32" t="s">
        <v>2054</v>
      </c>
      <c r="AO1419" s="38" t="s">
        <v>2055</v>
      </c>
      <c r="AP1419" s="35" t="s">
        <v>396</v>
      </c>
    </row>
    <row r="1420" spans="1:42" x14ac:dyDescent="0.2">
      <c r="A1420" s="40">
        <v>141</v>
      </c>
      <c r="B1420" s="40">
        <v>1419</v>
      </c>
      <c r="C1420" s="40" t="s">
        <v>241</v>
      </c>
      <c r="D1420" s="38" t="s">
        <v>240</v>
      </c>
      <c r="E1420" s="32" t="s">
        <v>2184</v>
      </c>
      <c r="F1420" s="32" t="s">
        <v>131</v>
      </c>
      <c r="G1420" s="38" t="s">
        <v>2920</v>
      </c>
      <c r="H1420" s="32" t="s">
        <v>242</v>
      </c>
      <c r="I1420" s="32" t="s">
        <v>243</v>
      </c>
      <c r="J1420" s="32" t="s">
        <v>2029</v>
      </c>
      <c r="K1420" s="32" t="s">
        <v>1513</v>
      </c>
      <c r="L1420" s="32" t="s">
        <v>30</v>
      </c>
      <c r="M1420" s="32" t="s">
        <v>30</v>
      </c>
      <c r="N1420" s="40">
        <v>2017</v>
      </c>
      <c r="O1420" s="32">
        <f>VLOOKUP(Data!N987, CPI!$A$2:$B$112, 2, 0)</f>
        <v>224.93899999999999</v>
      </c>
      <c r="P1420" s="32" t="s">
        <v>132</v>
      </c>
      <c r="Q1420" s="32" t="s">
        <v>239</v>
      </c>
      <c r="R1420" s="32" t="s">
        <v>2037</v>
      </c>
      <c r="S1420" s="32">
        <v>6900000</v>
      </c>
      <c r="T1420" s="32" t="s">
        <v>300</v>
      </c>
      <c r="U1420" s="32">
        <f t="shared" si="89"/>
        <v>170.59783414923601</v>
      </c>
      <c r="V1420" s="32" t="s">
        <v>316</v>
      </c>
      <c r="X1420" s="32">
        <f t="shared" si="90"/>
        <v>170.59783414923601</v>
      </c>
      <c r="Y1420" s="32">
        <f>(CPI!$B$112/O1420)*X1420</f>
        <v>231.07239591901913</v>
      </c>
      <c r="Z1420" s="38" t="s">
        <v>262</v>
      </c>
      <c r="AA1420" s="35" t="s">
        <v>1449</v>
      </c>
      <c r="AB1420" s="32">
        <v>40446</v>
      </c>
      <c r="AC1420" s="32" t="s">
        <v>1412</v>
      </c>
      <c r="AH1420" s="32" t="s">
        <v>411</v>
      </c>
      <c r="AJ1420" s="35" t="s">
        <v>2278</v>
      </c>
      <c r="AK1420" s="40" t="s">
        <v>2052</v>
      </c>
      <c r="AL1420" s="32">
        <v>2022</v>
      </c>
      <c r="AM1420" s="32" t="s">
        <v>2053</v>
      </c>
      <c r="AN1420" s="32" t="s">
        <v>2054</v>
      </c>
      <c r="AO1420" s="38" t="s">
        <v>2055</v>
      </c>
      <c r="AP1420" s="35" t="s">
        <v>396</v>
      </c>
    </row>
    <row r="1421" spans="1:42" x14ac:dyDescent="0.2">
      <c r="A1421" s="40">
        <v>141</v>
      </c>
      <c r="B1421" s="40">
        <v>1420</v>
      </c>
      <c r="C1421" s="40" t="s">
        <v>241</v>
      </c>
      <c r="D1421" s="38" t="s">
        <v>240</v>
      </c>
      <c r="E1421" s="32" t="s">
        <v>2184</v>
      </c>
      <c r="F1421" s="59" t="s">
        <v>36</v>
      </c>
      <c r="G1421" s="54" t="s">
        <v>2934</v>
      </c>
      <c r="H1421" s="32" t="s">
        <v>242</v>
      </c>
      <c r="I1421" s="32" t="s">
        <v>243</v>
      </c>
      <c r="J1421" s="32" t="s">
        <v>2029</v>
      </c>
      <c r="K1421" s="32" t="s">
        <v>1513</v>
      </c>
      <c r="L1421" s="32" t="s">
        <v>30</v>
      </c>
      <c r="M1421" s="32" t="s">
        <v>30</v>
      </c>
      <c r="N1421" s="40">
        <v>2017</v>
      </c>
      <c r="O1421" s="32">
        <f>VLOOKUP(Data!N988, CPI!$A$2:$B$112, 2, 0)</f>
        <v>224.93899999999999</v>
      </c>
      <c r="P1421" s="32" t="s">
        <v>132</v>
      </c>
      <c r="Q1421" s="32" t="s">
        <v>239</v>
      </c>
      <c r="R1421" s="32" t="s">
        <v>2038</v>
      </c>
      <c r="S1421" s="32">
        <v>100000</v>
      </c>
      <c r="T1421" s="32" t="s">
        <v>300</v>
      </c>
      <c r="U1421" s="32">
        <f t="shared" si="89"/>
        <v>2.4724323789744349</v>
      </c>
      <c r="V1421" s="32" t="s">
        <v>316</v>
      </c>
      <c r="X1421" s="32">
        <f t="shared" si="90"/>
        <v>2.4724323789744349</v>
      </c>
      <c r="Y1421" s="32">
        <f>(CPI!$B$112/O1421)*X1421</f>
        <v>3.3488753031741902</v>
      </c>
      <c r="Z1421" s="38" t="s">
        <v>262</v>
      </c>
      <c r="AA1421" s="35" t="s">
        <v>1449</v>
      </c>
      <c r="AB1421" s="32">
        <v>40446</v>
      </c>
      <c r="AC1421" s="32" t="s">
        <v>1412</v>
      </c>
      <c r="AH1421" s="32" t="s">
        <v>411</v>
      </c>
      <c r="AJ1421" s="35" t="s">
        <v>2278</v>
      </c>
      <c r="AK1421" s="40" t="s">
        <v>2052</v>
      </c>
      <c r="AL1421" s="32">
        <v>2022</v>
      </c>
      <c r="AM1421" s="32" t="s">
        <v>2053</v>
      </c>
      <c r="AN1421" s="32" t="s">
        <v>2054</v>
      </c>
      <c r="AO1421" s="38" t="s">
        <v>2055</v>
      </c>
      <c r="AP1421" s="35" t="s">
        <v>396</v>
      </c>
    </row>
    <row r="1422" spans="1:42" x14ac:dyDescent="0.2">
      <c r="A1422" s="40">
        <v>141</v>
      </c>
      <c r="B1422" s="40">
        <v>1421</v>
      </c>
      <c r="C1422" s="40" t="s">
        <v>241</v>
      </c>
      <c r="D1422" s="38" t="s">
        <v>240</v>
      </c>
      <c r="E1422" s="32" t="s">
        <v>2184</v>
      </c>
      <c r="F1422" s="32" t="s">
        <v>131</v>
      </c>
      <c r="G1422" s="38" t="s">
        <v>64</v>
      </c>
      <c r="H1422" s="32" t="s">
        <v>242</v>
      </c>
      <c r="I1422" s="32" t="s">
        <v>243</v>
      </c>
      <c r="J1422" s="32" t="s">
        <v>2029</v>
      </c>
      <c r="K1422" s="32" t="s">
        <v>1513</v>
      </c>
      <c r="L1422" s="32" t="s">
        <v>30</v>
      </c>
      <c r="M1422" s="32" t="s">
        <v>30</v>
      </c>
      <c r="N1422" s="40">
        <v>2017</v>
      </c>
      <c r="O1422" s="32">
        <f>VLOOKUP(Data!N989, CPI!$A$2:$B$112, 2, 0)</f>
        <v>224.93899999999999</v>
      </c>
      <c r="P1422" s="32" t="s">
        <v>132</v>
      </c>
      <c r="Q1422" s="32" t="s">
        <v>239</v>
      </c>
      <c r="R1422" s="32" t="s">
        <v>2039</v>
      </c>
      <c r="S1422" s="32">
        <v>10000</v>
      </c>
      <c r="T1422" s="32" t="s">
        <v>300</v>
      </c>
      <c r="U1422" s="32">
        <f t="shared" si="89"/>
        <v>0.24724323789744351</v>
      </c>
      <c r="V1422" s="32" t="s">
        <v>316</v>
      </c>
      <c r="X1422" s="32">
        <f t="shared" si="90"/>
        <v>0.24724323789744351</v>
      </c>
      <c r="Y1422" s="32">
        <f>(CPI!$B$112/O1422)*X1422</f>
        <v>0.33488753031741908</v>
      </c>
      <c r="Z1422" s="38" t="s">
        <v>262</v>
      </c>
      <c r="AA1422" s="35" t="s">
        <v>1449</v>
      </c>
      <c r="AB1422" s="32">
        <v>40446</v>
      </c>
      <c r="AC1422" s="32" t="s">
        <v>1412</v>
      </c>
      <c r="AH1422" s="32" t="s">
        <v>411</v>
      </c>
      <c r="AJ1422" s="35" t="s">
        <v>2278</v>
      </c>
      <c r="AK1422" s="40" t="s">
        <v>2052</v>
      </c>
      <c r="AL1422" s="32">
        <v>2022</v>
      </c>
      <c r="AM1422" s="32" t="s">
        <v>2053</v>
      </c>
      <c r="AN1422" s="32" t="s">
        <v>2054</v>
      </c>
      <c r="AO1422" s="38" t="s">
        <v>2055</v>
      </c>
      <c r="AP1422" s="35" t="s">
        <v>396</v>
      </c>
    </row>
    <row r="1423" spans="1:42" x14ac:dyDescent="0.2">
      <c r="A1423" s="40">
        <v>141</v>
      </c>
      <c r="B1423" s="40">
        <v>1422</v>
      </c>
      <c r="C1423" s="40" t="s">
        <v>241</v>
      </c>
      <c r="D1423" s="38" t="s">
        <v>240</v>
      </c>
      <c r="E1423" s="32" t="s">
        <v>2186</v>
      </c>
      <c r="F1423" s="32" t="s">
        <v>21</v>
      </c>
      <c r="G1423" s="38" t="s">
        <v>163</v>
      </c>
      <c r="H1423" s="32" t="s">
        <v>242</v>
      </c>
      <c r="I1423" s="32" t="s">
        <v>243</v>
      </c>
      <c r="J1423" s="32" t="s">
        <v>2029</v>
      </c>
      <c r="K1423" s="32" t="s">
        <v>1513</v>
      </c>
      <c r="L1423" s="32" t="s">
        <v>30</v>
      </c>
      <c r="M1423" s="32" t="s">
        <v>30</v>
      </c>
      <c r="N1423" s="40">
        <v>2017</v>
      </c>
      <c r="O1423" s="32">
        <f>VLOOKUP(Data!N990, CPI!$A$2:$B$112, 2, 0)</f>
        <v>224.93899999999999</v>
      </c>
      <c r="P1423" s="32" t="s">
        <v>132</v>
      </c>
      <c r="Q1423" s="32" t="s">
        <v>239</v>
      </c>
      <c r="R1423" s="32" t="s">
        <v>2040</v>
      </c>
      <c r="S1423" s="32">
        <v>200000</v>
      </c>
      <c r="T1423" s="32" t="s">
        <v>300</v>
      </c>
      <c r="U1423" s="32">
        <f t="shared" si="89"/>
        <v>4.9448647579488698</v>
      </c>
      <c r="V1423" s="32" t="s">
        <v>316</v>
      </c>
      <c r="X1423" s="32">
        <f t="shared" si="90"/>
        <v>4.9448647579488698</v>
      </c>
      <c r="Y1423" s="32">
        <f>(CPI!$B$112/O1423)*X1423</f>
        <v>6.6977506063483805</v>
      </c>
      <c r="Z1423" s="38" t="s">
        <v>262</v>
      </c>
      <c r="AA1423" s="35" t="s">
        <v>1449</v>
      </c>
      <c r="AB1423" s="32">
        <v>40446</v>
      </c>
      <c r="AC1423" s="32" t="s">
        <v>1412</v>
      </c>
      <c r="AH1423" s="32" t="s">
        <v>411</v>
      </c>
      <c r="AJ1423" s="35" t="s">
        <v>2278</v>
      </c>
      <c r="AK1423" s="40" t="s">
        <v>2052</v>
      </c>
      <c r="AL1423" s="32">
        <v>2022</v>
      </c>
      <c r="AM1423" s="32" t="s">
        <v>2053</v>
      </c>
      <c r="AN1423" s="32" t="s">
        <v>2054</v>
      </c>
      <c r="AO1423" s="38" t="s">
        <v>2055</v>
      </c>
      <c r="AP1423" s="35" t="s">
        <v>396</v>
      </c>
    </row>
    <row r="1424" spans="1:42" x14ac:dyDescent="0.2">
      <c r="A1424" s="40">
        <v>141</v>
      </c>
      <c r="B1424" s="40">
        <v>1423</v>
      </c>
      <c r="C1424" s="40" t="s">
        <v>241</v>
      </c>
      <c r="D1424" s="38" t="s">
        <v>240</v>
      </c>
      <c r="E1424" s="32" t="s">
        <v>2184</v>
      </c>
      <c r="F1424" s="32" t="s">
        <v>43</v>
      </c>
      <c r="G1424" s="38" t="s">
        <v>44</v>
      </c>
      <c r="H1424" s="32" t="s">
        <v>242</v>
      </c>
      <c r="I1424" s="32" t="s">
        <v>243</v>
      </c>
      <c r="J1424" s="32" t="s">
        <v>2029</v>
      </c>
      <c r="K1424" s="32" t="s">
        <v>1513</v>
      </c>
      <c r="L1424" s="32" t="s">
        <v>30</v>
      </c>
      <c r="M1424" s="32" t="s">
        <v>30</v>
      </c>
      <c r="N1424" s="40">
        <v>2017</v>
      </c>
      <c r="O1424" s="32">
        <f>VLOOKUP(Data!N991, CPI!$A$2:$B$112, 2, 0)</f>
        <v>224.93899999999999</v>
      </c>
      <c r="P1424" s="32" t="s">
        <v>132</v>
      </c>
      <c r="Q1424" s="32" t="s">
        <v>239</v>
      </c>
      <c r="R1424" s="32" t="s">
        <v>2041</v>
      </c>
      <c r="S1424" s="32">
        <v>28500000</v>
      </c>
      <c r="T1424" s="32" t="s">
        <v>300</v>
      </c>
      <c r="U1424" s="32">
        <f t="shared" si="89"/>
        <v>704.64322800771401</v>
      </c>
      <c r="V1424" s="32" t="s">
        <v>316</v>
      </c>
      <c r="X1424" s="32">
        <f t="shared" si="90"/>
        <v>704.64322800771401</v>
      </c>
      <c r="Y1424" s="32">
        <f>(CPI!$B$112/O1424)*X1424</f>
        <v>954.42946140464437</v>
      </c>
      <c r="Z1424" s="38" t="s">
        <v>262</v>
      </c>
      <c r="AA1424" s="35" t="s">
        <v>1449</v>
      </c>
      <c r="AB1424" s="32">
        <v>40446</v>
      </c>
      <c r="AC1424" s="32" t="s">
        <v>1412</v>
      </c>
      <c r="AH1424" s="32" t="s">
        <v>411</v>
      </c>
      <c r="AJ1424" s="35" t="s">
        <v>2278</v>
      </c>
      <c r="AK1424" s="40" t="s">
        <v>2052</v>
      </c>
      <c r="AL1424" s="32">
        <v>2022</v>
      </c>
      <c r="AM1424" s="32" t="s">
        <v>2053</v>
      </c>
      <c r="AN1424" s="32" t="s">
        <v>2054</v>
      </c>
      <c r="AO1424" s="38" t="s">
        <v>2055</v>
      </c>
      <c r="AP1424" s="35" t="s">
        <v>396</v>
      </c>
    </row>
    <row r="1425" spans="1:42" x14ac:dyDescent="0.2">
      <c r="A1425" s="40">
        <v>141</v>
      </c>
      <c r="B1425" s="40">
        <v>1424</v>
      </c>
      <c r="C1425" s="40" t="s">
        <v>241</v>
      </c>
      <c r="D1425" s="38" t="s">
        <v>240</v>
      </c>
      <c r="E1425" s="32" t="s">
        <v>2184</v>
      </c>
      <c r="F1425" s="32" t="s">
        <v>47</v>
      </c>
      <c r="G1425" s="54" t="s">
        <v>2932</v>
      </c>
      <c r="H1425" s="32" t="s">
        <v>242</v>
      </c>
      <c r="I1425" s="32" t="s">
        <v>243</v>
      </c>
      <c r="J1425" s="32" t="s">
        <v>2029</v>
      </c>
      <c r="K1425" s="32" t="s">
        <v>1513</v>
      </c>
      <c r="L1425" s="32" t="s">
        <v>30</v>
      </c>
      <c r="M1425" s="32" t="s">
        <v>30</v>
      </c>
      <c r="N1425" s="40">
        <v>2017</v>
      </c>
      <c r="O1425" s="32">
        <f>VLOOKUP(Data!N992, CPI!$A$2:$B$112, 2, 0)</f>
        <v>224.93899999999999</v>
      </c>
      <c r="P1425" s="32" t="s">
        <v>132</v>
      </c>
      <c r="Q1425" s="32" t="s">
        <v>239</v>
      </c>
      <c r="R1425" s="32" t="s">
        <v>2042</v>
      </c>
      <c r="S1425" s="32">
        <v>60000</v>
      </c>
      <c r="T1425" s="32" t="s">
        <v>300</v>
      </c>
      <c r="U1425" s="32">
        <f t="shared" si="89"/>
        <v>1.4834594273846611</v>
      </c>
      <c r="V1425" s="32" t="s">
        <v>316</v>
      </c>
      <c r="X1425" s="32">
        <f t="shared" si="90"/>
        <v>1.4834594273846611</v>
      </c>
      <c r="Y1425" s="32">
        <f>(CPI!$B$112/O1425)*X1425</f>
        <v>2.0093251819045146</v>
      </c>
      <c r="Z1425" s="38" t="s">
        <v>262</v>
      </c>
      <c r="AA1425" s="35" t="s">
        <v>1449</v>
      </c>
      <c r="AB1425" s="32">
        <v>40446</v>
      </c>
      <c r="AC1425" s="32" t="s">
        <v>1412</v>
      </c>
      <c r="AH1425" s="32" t="s">
        <v>411</v>
      </c>
      <c r="AJ1425" s="35" t="s">
        <v>2278</v>
      </c>
      <c r="AK1425" s="40" t="s">
        <v>2052</v>
      </c>
      <c r="AL1425" s="32">
        <v>2022</v>
      </c>
      <c r="AM1425" s="32" t="s">
        <v>2053</v>
      </c>
      <c r="AN1425" s="32" t="s">
        <v>2054</v>
      </c>
      <c r="AO1425" s="38" t="s">
        <v>2055</v>
      </c>
      <c r="AP1425" s="35" t="s">
        <v>396</v>
      </c>
    </row>
    <row r="1426" spans="1:42" x14ac:dyDescent="0.2">
      <c r="A1426" s="40">
        <v>141</v>
      </c>
      <c r="B1426" s="40">
        <v>1425</v>
      </c>
      <c r="C1426" s="40" t="s">
        <v>241</v>
      </c>
      <c r="D1426" s="38" t="s">
        <v>240</v>
      </c>
      <c r="E1426" s="32" t="s">
        <v>2184</v>
      </c>
      <c r="F1426" s="32" t="s">
        <v>43</v>
      </c>
      <c r="G1426" s="38" t="s">
        <v>46</v>
      </c>
      <c r="H1426" s="32" t="s">
        <v>242</v>
      </c>
      <c r="I1426" s="32" t="s">
        <v>243</v>
      </c>
      <c r="J1426" s="32" t="s">
        <v>2029</v>
      </c>
      <c r="K1426" s="32" t="s">
        <v>1513</v>
      </c>
      <c r="L1426" s="32" t="s">
        <v>30</v>
      </c>
      <c r="M1426" s="32" t="s">
        <v>30</v>
      </c>
      <c r="N1426" s="40">
        <v>2017</v>
      </c>
      <c r="O1426" s="32">
        <f>VLOOKUP(Data!N993, CPI!$A$2:$B$112, 2, 0)</f>
        <v>224.93899999999999</v>
      </c>
      <c r="P1426" s="32" t="s">
        <v>132</v>
      </c>
      <c r="Q1426" s="32" t="s">
        <v>239</v>
      </c>
      <c r="R1426" s="32" t="s">
        <v>2043</v>
      </c>
      <c r="S1426" s="32">
        <v>300000</v>
      </c>
      <c r="T1426" s="32" t="s">
        <v>300</v>
      </c>
      <c r="U1426" s="32">
        <f t="shared" ref="U1426:U1449" si="91">S1426/AB1426</f>
        <v>7.4172971369233052</v>
      </c>
      <c r="V1426" s="32" t="s">
        <v>316</v>
      </c>
      <c r="X1426" s="32">
        <f t="shared" ref="X1426:X1449" si="92">U1426</f>
        <v>7.4172971369233052</v>
      </c>
      <c r="Y1426" s="32">
        <f>(CPI!$B$112/O1426)*X1426</f>
        <v>10.046625909522572</v>
      </c>
      <c r="Z1426" s="38" t="s">
        <v>262</v>
      </c>
      <c r="AA1426" s="35" t="s">
        <v>1449</v>
      </c>
      <c r="AB1426" s="32">
        <v>40446</v>
      </c>
      <c r="AC1426" s="32" t="s">
        <v>1412</v>
      </c>
      <c r="AH1426" s="32" t="s">
        <v>411</v>
      </c>
      <c r="AJ1426" s="35" t="s">
        <v>2278</v>
      </c>
      <c r="AK1426" s="40" t="s">
        <v>2052</v>
      </c>
      <c r="AL1426" s="32">
        <v>2022</v>
      </c>
      <c r="AM1426" s="32" t="s">
        <v>2053</v>
      </c>
      <c r="AN1426" s="32" t="s">
        <v>2054</v>
      </c>
      <c r="AO1426" s="38" t="s">
        <v>2055</v>
      </c>
      <c r="AP1426" s="35" t="s">
        <v>396</v>
      </c>
    </row>
    <row r="1427" spans="1:42" x14ac:dyDescent="0.2">
      <c r="A1427" s="40">
        <v>141</v>
      </c>
      <c r="B1427" s="40">
        <v>1426</v>
      </c>
      <c r="C1427" s="40" t="s">
        <v>241</v>
      </c>
      <c r="D1427" s="38" t="s">
        <v>240</v>
      </c>
      <c r="E1427" s="32" t="s">
        <v>2887</v>
      </c>
      <c r="F1427" s="32" t="s">
        <v>121</v>
      </c>
      <c r="G1427" s="38" t="s">
        <v>121</v>
      </c>
      <c r="H1427" s="32" t="s">
        <v>242</v>
      </c>
      <c r="I1427" s="32" t="s">
        <v>243</v>
      </c>
      <c r="J1427" s="32" t="s">
        <v>2029</v>
      </c>
      <c r="K1427" s="32" t="s">
        <v>1513</v>
      </c>
      <c r="L1427" s="32" t="s">
        <v>30</v>
      </c>
      <c r="M1427" s="32" t="s">
        <v>30</v>
      </c>
      <c r="N1427" s="40">
        <v>2017</v>
      </c>
      <c r="O1427" s="32">
        <f>VLOOKUP(Data!N994, CPI!$A$2:$B$112, 2, 0)</f>
        <v>251.107</v>
      </c>
      <c r="P1427" s="32" t="s">
        <v>132</v>
      </c>
      <c r="Q1427" s="32" t="s">
        <v>239</v>
      </c>
      <c r="R1427" s="32" t="s">
        <v>2044</v>
      </c>
      <c r="S1427" s="32">
        <v>3500000</v>
      </c>
      <c r="T1427" s="32" t="s">
        <v>300</v>
      </c>
      <c r="U1427" s="32">
        <f t="shared" si="91"/>
        <v>86.535133264105227</v>
      </c>
      <c r="V1427" s="32" t="s">
        <v>316</v>
      </c>
      <c r="X1427" s="32">
        <f t="shared" si="92"/>
        <v>86.535133264105227</v>
      </c>
      <c r="Y1427" s="32">
        <f>(CPI!$B$112/O1427)*X1427</f>
        <v>104.99605014485648</v>
      </c>
      <c r="Z1427" s="38" t="s">
        <v>262</v>
      </c>
      <c r="AA1427" s="35" t="s">
        <v>1449</v>
      </c>
      <c r="AB1427" s="32">
        <v>40446</v>
      </c>
      <c r="AC1427" s="32" t="s">
        <v>1412</v>
      </c>
      <c r="AH1427" s="32" t="s">
        <v>411</v>
      </c>
      <c r="AJ1427" s="35" t="s">
        <v>2278</v>
      </c>
      <c r="AK1427" s="40" t="s">
        <v>2052</v>
      </c>
      <c r="AL1427" s="32">
        <v>2022</v>
      </c>
      <c r="AM1427" s="32" t="s">
        <v>2053</v>
      </c>
      <c r="AN1427" s="32" t="s">
        <v>2054</v>
      </c>
      <c r="AO1427" s="38" t="s">
        <v>2055</v>
      </c>
      <c r="AP1427" s="35" t="s">
        <v>396</v>
      </c>
    </row>
    <row r="1428" spans="1:42" x14ac:dyDescent="0.2">
      <c r="A1428" s="40">
        <v>141</v>
      </c>
      <c r="B1428" s="40">
        <v>1427</v>
      </c>
      <c r="C1428" s="40" t="s">
        <v>241</v>
      </c>
      <c r="D1428" s="38" t="s">
        <v>240</v>
      </c>
      <c r="E1428" s="32" t="s">
        <v>2887</v>
      </c>
      <c r="F1428" s="32" t="s">
        <v>10</v>
      </c>
      <c r="G1428" s="38" t="s">
        <v>19</v>
      </c>
      <c r="H1428" s="32" t="s">
        <v>242</v>
      </c>
      <c r="I1428" s="32" t="s">
        <v>243</v>
      </c>
      <c r="J1428" s="32" t="s">
        <v>2029</v>
      </c>
      <c r="K1428" s="32" t="s">
        <v>1513</v>
      </c>
      <c r="L1428" s="32" t="s">
        <v>30</v>
      </c>
      <c r="M1428" s="32" t="s">
        <v>30</v>
      </c>
      <c r="N1428" s="40">
        <v>2017</v>
      </c>
      <c r="O1428" s="32">
        <f>VLOOKUP(Data!N995, CPI!$A$2:$B$112, 2, 0)</f>
        <v>251.107</v>
      </c>
      <c r="P1428" s="32" t="s">
        <v>132</v>
      </c>
      <c r="Q1428" s="32" t="s">
        <v>239</v>
      </c>
      <c r="R1428" s="32" t="s">
        <v>2045</v>
      </c>
      <c r="S1428" s="32">
        <v>100000</v>
      </c>
      <c r="T1428" s="32" t="s">
        <v>300</v>
      </c>
      <c r="U1428" s="32">
        <f t="shared" si="91"/>
        <v>2.4724323789744349</v>
      </c>
      <c r="V1428" s="32" t="s">
        <v>316</v>
      </c>
      <c r="X1428" s="32">
        <f t="shared" si="92"/>
        <v>2.4724323789744349</v>
      </c>
      <c r="Y1428" s="32">
        <f>(CPI!$B$112/O1428)*X1428</f>
        <v>2.9998871469958992</v>
      </c>
      <c r="Z1428" s="38" t="s">
        <v>262</v>
      </c>
      <c r="AA1428" s="35" t="s">
        <v>1449</v>
      </c>
      <c r="AB1428" s="32">
        <v>40446</v>
      </c>
      <c r="AC1428" s="32" t="s">
        <v>1412</v>
      </c>
      <c r="AH1428" s="32" t="s">
        <v>411</v>
      </c>
      <c r="AJ1428" s="35" t="s">
        <v>2278</v>
      </c>
      <c r="AK1428" s="40" t="s">
        <v>2052</v>
      </c>
      <c r="AL1428" s="32">
        <v>2022</v>
      </c>
      <c r="AM1428" s="32" t="s">
        <v>2053</v>
      </c>
      <c r="AN1428" s="32" t="s">
        <v>2054</v>
      </c>
      <c r="AO1428" s="38" t="s">
        <v>2055</v>
      </c>
      <c r="AP1428" s="35" t="s">
        <v>396</v>
      </c>
    </row>
    <row r="1429" spans="1:42" x14ac:dyDescent="0.2">
      <c r="A1429" s="40">
        <v>141</v>
      </c>
      <c r="B1429" s="40">
        <v>1428</v>
      </c>
      <c r="C1429" s="40" t="s">
        <v>241</v>
      </c>
      <c r="D1429" s="38" t="s">
        <v>240</v>
      </c>
      <c r="E1429" s="32" t="s">
        <v>2186</v>
      </c>
      <c r="F1429" s="32" t="s">
        <v>29</v>
      </c>
      <c r="G1429" s="38" t="s">
        <v>29</v>
      </c>
      <c r="H1429" s="32" t="s">
        <v>242</v>
      </c>
      <c r="I1429" s="32" t="s">
        <v>243</v>
      </c>
      <c r="J1429" s="32" t="s">
        <v>2029</v>
      </c>
      <c r="K1429" s="32" t="s">
        <v>1513</v>
      </c>
      <c r="L1429" s="32" t="s">
        <v>30</v>
      </c>
      <c r="M1429" s="32" t="s">
        <v>30</v>
      </c>
      <c r="N1429" s="40">
        <v>2017</v>
      </c>
      <c r="O1429" s="32">
        <f>VLOOKUP(Data!N996, CPI!$A$2:$B$112, 2, 0)</f>
        <v>251.107</v>
      </c>
      <c r="P1429" s="32" t="s">
        <v>132</v>
      </c>
      <c r="Q1429" s="32" t="s">
        <v>239</v>
      </c>
      <c r="R1429" s="32" t="s">
        <v>2046</v>
      </c>
      <c r="S1429" s="32">
        <v>63400000</v>
      </c>
      <c r="T1429" s="32" t="s">
        <v>300</v>
      </c>
      <c r="U1429" s="32">
        <f t="shared" si="91"/>
        <v>1567.5221282697919</v>
      </c>
      <c r="V1429" s="32" t="s">
        <v>316</v>
      </c>
      <c r="X1429" s="32">
        <f t="shared" si="92"/>
        <v>1567.5221282697919</v>
      </c>
      <c r="Y1429" s="32">
        <f>(CPI!$B$112/O1429)*X1429</f>
        <v>1901.9284511954004</v>
      </c>
      <c r="Z1429" s="38" t="s">
        <v>262</v>
      </c>
      <c r="AA1429" s="35" t="s">
        <v>1449</v>
      </c>
      <c r="AB1429" s="32">
        <v>40446</v>
      </c>
      <c r="AC1429" s="32" t="s">
        <v>1412</v>
      </c>
      <c r="AH1429" s="32" t="s">
        <v>411</v>
      </c>
      <c r="AJ1429" s="35" t="s">
        <v>2278</v>
      </c>
      <c r="AK1429" s="40" t="s">
        <v>2052</v>
      </c>
      <c r="AL1429" s="32">
        <v>2022</v>
      </c>
      <c r="AM1429" s="32" t="s">
        <v>2053</v>
      </c>
      <c r="AN1429" s="32" t="s">
        <v>2054</v>
      </c>
      <c r="AO1429" s="38" t="s">
        <v>2055</v>
      </c>
      <c r="AP1429" s="35" t="s">
        <v>396</v>
      </c>
    </row>
    <row r="1430" spans="1:42" x14ac:dyDescent="0.2">
      <c r="A1430" s="40">
        <v>141</v>
      </c>
      <c r="B1430" s="40">
        <v>1429</v>
      </c>
      <c r="C1430" s="40" t="s">
        <v>119</v>
      </c>
      <c r="D1430" s="38" t="s">
        <v>128</v>
      </c>
      <c r="E1430" s="32" t="s">
        <v>2186</v>
      </c>
      <c r="F1430" s="32" t="s">
        <v>29</v>
      </c>
      <c r="G1430" s="38" t="s">
        <v>29</v>
      </c>
      <c r="H1430" s="32" t="s">
        <v>242</v>
      </c>
      <c r="I1430" s="32" t="s">
        <v>243</v>
      </c>
      <c r="J1430" s="32" t="s">
        <v>2029</v>
      </c>
      <c r="K1430" s="32" t="s">
        <v>1513</v>
      </c>
      <c r="L1430" s="32" t="s">
        <v>30</v>
      </c>
      <c r="M1430" s="32" t="s">
        <v>30</v>
      </c>
      <c r="N1430" s="40">
        <v>1986</v>
      </c>
      <c r="O1430" s="32">
        <f>VLOOKUP(Data!N997, CPI!$A$2:$B$112, 2, 0)</f>
        <v>251.107</v>
      </c>
      <c r="P1430" s="32" t="s">
        <v>132</v>
      </c>
      <c r="Q1430" s="32" t="s">
        <v>239</v>
      </c>
      <c r="R1430" s="32" t="s">
        <v>2047</v>
      </c>
      <c r="S1430" s="32">
        <v>61900000</v>
      </c>
      <c r="T1430" s="32" t="s">
        <v>300</v>
      </c>
      <c r="U1430" s="32">
        <f t="shared" si="91"/>
        <v>2002.8473435578851</v>
      </c>
      <c r="V1430" s="32" t="s">
        <v>316</v>
      </c>
      <c r="X1430" s="32">
        <f t="shared" si="92"/>
        <v>2002.8473435578851</v>
      </c>
      <c r="Y1430" s="32">
        <f>(CPI!$B$112/O1430)*X1430</f>
        <v>2430.1234907085422</v>
      </c>
      <c r="Z1430" s="38" t="s">
        <v>262</v>
      </c>
      <c r="AA1430" s="35" t="s">
        <v>1447</v>
      </c>
      <c r="AB1430" s="32">
        <v>30906</v>
      </c>
      <c r="AC1430" s="32" t="s">
        <v>1412</v>
      </c>
      <c r="AH1430" s="32" t="s">
        <v>411</v>
      </c>
      <c r="AJ1430" s="35" t="s">
        <v>2278</v>
      </c>
      <c r="AK1430" s="40" t="s">
        <v>2052</v>
      </c>
      <c r="AL1430" s="32">
        <v>2022</v>
      </c>
      <c r="AM1430" s="32" t="s">
        <v>2053</v>
      </c>
      <c r="AN1430" s="32" t="s">
        <v>2054</v>
      </c>
      <c r="AO1430" s="38" t="s">
        <v>2055</v>
      </c>
      <c r="AP1430" s="35" t="s">
        <v>396</v>
      </c>
    </row>
    <row r="1431" spans="1:42" x14ac:dyDescent="0.2">
      <c r="A1431" s="40">
        <v>141</v>
      </c>
      <c r="B1431" s="40">
        <v>1430</v>
      </c>
      <c r="C1431" s="40" t="s">
        <v>59</v>
      </c>
      <c r="D1431" s="38" t="s">
        <v>209</v>
      </c>
      <c r="E1431" s="32" t="s">
        <v>2186</v>
      </c>
      <c r="F1431" s="32" t="s">
        <v>29</v>
      </c>
      <c r="G1431" s="38" t="s">
        <v>29</v>
      </c>
      <c r="H1431" s="32" t="s">
        <v>242</v>
      </c>
      <c r="I1431" s="32" t="s">
        <v>243</v>
      </c>
      <c r="J1431" s="32" t="s">
        <v>2029</v>
      </c>
      <c r="K1431" s="32" t="s">
        <v>1513</v>
      </c>
      <c r="L1431" s="32" t="s">
        <v>30</v>
      </c>
      <c r="M1431" s="32" t="s">
        <v>30</v>
      </c>
      <c r="N1431" s="40">
        <v>1986</v>
      </c>
      <c r="O1431" s="32">
        <f>VLOOKUP(Data!N998, CPI!$A$2:$B$112, 2, 0)</f>
        <v>224.93899999999999</v>
      </c>
      <c r="P1431" s="32" t="s">
        <v>132</v>
      </c>
      <c r="Q1431" s="32" t="s">
        <v>239</v>
      </c>
      <c r="R1431" s="32" t="s">
        <v>2048</v>
      </c>
      <c r="S1431" s="32">
        <v>1000000</v>
      </c>
      <c r="T1431" s="32" t="s">
        <v>300</v>
      </c>
      <c r="U1431" s="32">
        <f t="shared" si="91"/>
        <v>248.94199651481205</v>
      </c>
      <c r="V1431" s="32" t="s">
        <v>316</v>
      </c>
      <c r="X1431" s="32">
        <f t="shared" si="92"/>
        <v>248.94199651481205</v>
      </c>
      <c r="Y1431" s="32">
        <f>(CPI!$B$112/O1431)*X1431</f>
        <v>337.18847526060074</v>
      </c>
      <c r="Z1431" s="38" t="s">
        <v>262</v>
      </c>
      <c r="AA1431" s="35" t="s">
        <v>1447</v>
      </c>
      <c r="AB1431" s="32">
        <v>4017</v>
      </c>
      <c r="AC1431" s="32" t="s">
        <v>1412</v>
      </c>
      <c r="AH1431" s="32" t="s">
        <v>411</v>
      </c>
      <c r="AJ1431" s="35" t="s">
        <v>2278</v>
      </c>
      <c r="AK1431" s="40" t="s">
        <v>2052</v>
      </c>
      <c r="AL1431" s="32">
        <v>2022</v>
      </c>
      <c r="AM1431" s="32" t="s">
        <v>2053</v>
      </c>
      <c r="AN1431" s="32" t="s">
        <v>2054</v>
      </c>
      <c r="AO1431" s="38" t="s">
        <v>2055</v>
      </c>
      <c r="AP1431" s="35" t="s">
        <v>396</v>
      </c>
    </row>
    <row r="1432" spans="1:42" x14ac:dyDescent="0.2">
      <c r="A1432" s="40">
        <v>141</v>
      </c>
      <c r="B1432" s="40">
        <v>1431</v>
      </c>
      <c r="C1432" s="40" t="s">
        <v>21</v>
      </c>
      <c r="D1432" s="38" t="s">
        <v>21</v>
      </c>
      <c r="E1432" s="32" t="s">
        <v>2186</v>
      </c>
      <c r="F1432" s="32" t="s">
        <v>29</v>
      </c>
      <c r="G1432" s="38" t="s">
        <v>29</v>
      </c>
      <c r="H1432" s="32" t="s">
        <v>242</v>
      </c>
      <c r="I1432" s="32" t="s">
        <v>243</v>
      </c>
      <c r="J1432" s="32" t="s">
        <v>2029</v>
      </c>
      <c r="K1432" s="32" t="s">
        <v>1513</v>
      </c>
      <c r="L1432" s="32" t="s">
        <v>30</v>
      </c>
      <c r="M1432" s="32" t="s">
        <v>30</v>
      </c>
      <c r="N1432" s="40">
        <v>1986</v>
      </c>
      <c r="O1432" s="32">
        <f>VLOOKUP(Data!N999, CPI!$A$2:$B$112, 2, 0)</f>
        <v>236.73599999999999</v>
      </c>
      <c r="P1432" s="32" t="s">
        <v>132</v>
      </c>
      <c r="Q1432" s="32" t="s">
        <v>239</v>
      </c>
      <c r="R1432" s="32" t="s">
        <v>2049</v>
      </c>
      <c r="S1432" s="32">
        <v>0</v>
      </c>
      <c r="T1432" s="32" t="s">
        <v>300</v>
      </c>
      <c r="U1432" s="32">
        <f t="shared" si="91"/>
        <v>0</v>
      </c>
      <c r="V1432" s="32" t="s">
        <v>316</v>
      </c>
      <c r="X1432" s="32">
        <f t="shared" si="92"/>
        <v>0</v>
      </c>
      <c r="Y1432" s="32">
        <f>(CPI!$B$112/O1432)*X1432</f>
        <v>0</v>
      </c>
      <c r="Z1432" s="38" t="s">
        <v>262</v>
      </c>
      <c r="AA1432" s="35" t="s">
        <v>1447</v>
      </c>
      <c r="AB1432" s="32">
        <v>3456</v>
      </c>
      <c r="AC1432" s="32" t="s">
        <v>1412</v>
      </c>
      <c r="AH1432" s="32" t="s">
        <v>411</v>
      </c>
      <c r="AJ1432" s="35" t="s">
        <v>2278</v>
      </c>
      <c r="AK1432" s="40" t="s">
        <v>2052</v>
      </c>
      <c r="AL1432" s="32">
        <v>2022</v>
      </c>
      <c r="AM1432" s="32" t="s">
        <v>2053</v>
      </c>
      <c r="AN1432" s="32" t="s">
        <v>2054</v>
      </c>
      <c r="AO1432" s="38" t="s">
        <v>2055</v>
      </c>
      <c r="AP1432" s="35" t="s">
        <v>396</v>
      </c>
    </row>
    <row r="1433" spans="1:42" x14ac:dyDescent="0.2">
      <c r="A1433" s="40">
        <v>141</v>
      </c>
      <c r="B1433" s="40">
        <v>1432</v>
      </c>
      <c r="C1433" s="40" t="s">
        <v>39</v>
      </c>
      <c r="D1433" s="38" t="s">
        <v>38</v>
      </c>
      <c r="E1433" s="32" t="s">
        <v>2186</v>
      </c>
      <c r="F1433" s="32" t="s">
        <v>29</v>
      </c>
      <c r="G1433" s="38" t="s">
        <v>29</v>
      </c>
      <c r="H1433" s="32" t="s">
        <v>242</v>
      </c>
      <c r="I1433" s="32" t="s">
        <v>243</v>
      </c>
      <c r="J1433" s="32" t="s">
        <v>2029</v>
      </c>
      <c r="K1433" s="32" t="s">
        <v>1513</v>
      </c>
      <c r="L1433" s="32" t="s">
        <v>30</v>
      </c>
      <c r="M1433" s="32" t="s">
        <v>30</v>
      </c>
      <c r="N1433" s="40">
        <v>1986</v>
      </c>
      <c r="O1433" s="32">
        <f>VLOOKUP(Data!N1000, CPI!$A$2:$B$112, 2, 0)</f>
        <v>236.73599999999999</v>
      </c>
      <c r="P1433" s="32" t="s">
        <v>132</v>
      </c>
      <c r="Q1433" s="32" t="s">
        <v>239</v>
      </c>
      <c r="R1433" s="32" t="s">
        <v>2050</v>
      </c>
      <c r="S1433" s="32">
        <v>200000</v>
      </c>
      <c r="T1433" s="32" t="s">
        <v>300</v>
      </c>
      <c r="U1433" s="32">
        <f t="shared" si="91"/>
        <v>104.8767697954903</v>
      </c>
      <c r="V1433" s="32" t="s">
        <v>316</v>
      </c>
      <c r="X1433" s="32">
        <f t="shared" si="92"/>
        <v>104.8767697954903</v>
      </c>
      <c r="Y1433" s="32">
        <f>(CPI!$B$112/O1433)*X1433</f>
        <v>134.97530317226006</v>
      </c>
      <c r="Z1433" s="38" t="s">
        <v>262</v>
      </c>
      <c r="AA1433" s="35" t="s">
        <v>1447</v>
      </c>
      <c r="AB1433" s="32">
        <v>1907</v>
      </c>
      <c r="AC1433" s="32" t="s">
        <v>1412</v>
      </c>
      <c r="AH1433" s="32" t="s">
        <v>411</v>
      </c>
      <c r="AJ1433" s="35" t="s">
        <v>2278</v>
      </c>
      <c r="AK1433" s="40" t="s">
        <v>2052</v>
      </c>
      <c r="AL1433" s="32">
        <v>2022</v>
      </c>
      <c r="AM1433" s="32" t="s">
        <v>2053</v>
      </c>
      <c r="AN1433" s="32" t="s">
        <v>2054</v>
      </c>
      <c r="AO1433" s="38" t="s">
        <v>2055</v>
      </c>
      <c r="AP1433" s="35" t="s">
        <v>396</v>
      </c>
    </row>
    <row r="1434" spans="1:42" x14ac:dyDescent="0.2">
      <c r="A1434" s="40">
        <v>141</v>
      </c>
      <c r="B1434" s="40">
        <v>1433</v>
      </c>
      <c r="C1434" s="40" t="s">
        <v>357</v>
      </c>
      <c r="D1434" s="38" t="s">
        <v>49</v>
      </c>
      <c r="E1434" s="32" t="s">
        <v>2186</v>
      </c>
      <c r="F1434" s="32" t="s">
        <v>29</v>
      </c>
      <c r="G1434" s="38" t="s">
        <v>29</v>
      </c>
      <c r="H1434" s="32" t="s">
        <v>242</v>
      </c>
      <c r="I1434" s="32" t="s">
        <v>243</v>
      </c>
      <c r="J1434" s="32" t="s">
        <v>2029</v>
      </c>
      <c r="K1434" s="32" t="s">
        <v>1513</v>
      </c>
      <c r="L1434" s="32" t="s">
        <v>30</v>
      </c>
      <c r="M1434" s="32" t="s">
        <v>30</v>
      </c>
      <c r="N1434" s="40">
        <v>1986</v>
      </c>
      <c r="O1434" s="32">
        <f>VLOOKUP(Data!N1001, CPI!$A$2:$B$112, 2, 0)</f>
        <v>236.73599999999999</v>
      </c>
      <c r="P1434" s="32" t="s">
        <v>132</v>
      </c>
      <c r="Q1434" s="32" t="s">
        <v>239</v>
      </c>
      <c r="R1434" s="32" t="s">
        <v>2051</v>
      </c>
      <c r="S1434" s="32">
        <v>1400000</v>
      </c>
      <c r="T1434" s="32" t="s">
        <v>300</v>
      </c>
      <c r="U1434" s="32">
        <f t="shared" si="91"/>
        <v>8750</v>
      </c>
      <c r="V1434" s="32" t="s">
        <v>316</v>
      </c>
      <c r="X1434" s="32">
        <f t="shared" si="92"/>
        <v>8750</v>
      </c>
      <c r="Y1434" s="32">
        <f>(CPI!$B$112/O1434)*X1434</f>
        <v>11261.158262790621</v>
      </c>
      <c r="Z1434" s="38" t="s">
        <v>262</v>
      </c>
      <c r="AA1434" s="35" t="s">
        <v>1447</v>
      </c>
      <c r="AB1434" s="32">
        <v>160</v>
      </c>
      <c r="AC1434" s="32" t="s">
        <v>1412</v>
      </c>
      <c r="AH1434" s="32" t="s">
        <v>411</v>
      </c>
      <c r="AJ1434" s="35" t="s">
        <v>2278</v>
      </c>
      <c r="AK1434" s="40" t="s">
        <v>2052</v>
      </c>
      <c r="AL1434" s="32">
        <v>2022</v>
      </c>
      <c r="AM1434" s="32" t="s">
        <v>2053</v>
      </c>
      <c r="AN1434" s="32" t="s">
        <v>2054</v>
      </c>
      <c r="AO1434" s="38" t="s">
        <v>2055</v>
      </c>
      <c r="AP1434" s="35" t="s">
        <v>396</v>
      </c>
    </row>
    <row r="1435" spans="1:42" x14ac:dyDescent="0.2">
      <c r="A1435" s="40">
        <v>141</v>
      </c>
      <c r="B1435" s="40">
        <v>1434</v>
      </c>
      <c r="C1435" s="40" t="s">
        <v>119</v>
      </c>
      <c r="D1435" s="38" t="s">
        <v>128</v>
      </c>
      <c r="E1435" s="32" t="s">
        <v>2186</v>
      </c>
      <c r="F1435" s="32" t="s">
        <v>29</v>
      </c>
      <c r="G1435" s="38" t="s">
        <v>29</v>
      </c>
      <c r="H1435" s="32" t="s">
        <v>242</v>
      </c>
      <c r="I1435" s="32" t="s">
        <v>243</v>
      </c>
      <c r="J1435" s="32" t="s">
        <v>2029</v>
      </c>
      <c r="K1435" s="32" t="s">
        <v>1513</v>
      </c>
      <c r="L1435" s="32" t="s">
        <v>30</v>
      </c>
      <c r="M1435" s="32" t="s">
        <v>30</v>
      </c>
      <c r="N1435" s="40">
        <v>1998</v>
      </c>
      <c r="O1435" s="32">
        <f>VLOOKUP(Data!N1002, CPI!$A$2:$B$112, 2, 0)</f>
        <v>236.73599999999999</v>
      </c>
      <c r="P1435" s="32" t="s">
        <v>132</v>
      </c>
      <c r="Q1435" s="32" t="s">
        <v>239</v>
      </c>
      <c r="R1435" s="32" t="s">
        <v>2047</v>
      </c>
      <c r="S1435" s="32">
        <v>61200000</v>
      </c>
      <c r="T1435" s="32" t="s">
        <v>300</v>
      </c>
      <c r="U1435" s="32">
        <f t="shared" si="91"/>
        <v>2003.8636586883206</v>
      </c>
      <c r="V1435" s="32" t="s">
        <v>316</v>
      </c>
      <c r="X1435" s="32">
        <f t="shared" si="92"/>
        <v>2003.8636586883206</v>
      </c>
      <c r="Y1435" s="32">
        <f>(CPI!$B$112/O1435)*X1435</f>
        <v>2578.9515197192945</v>
      </c>
      <c r="Z1435" s="38" t="s">
        <v>262</v>
      </c>
      <c r="AA1435" s="35" t="s">
        <v>1447</v>
      </c>
      <c r="AB1435" s="32">
        <v>30541</v>
      </c>
      <c r="AC1435" s="32" t="s">
        <v>1412</v>
      </c>
      <c r="AH1435" s="32" t="s">
        <v>411</v>
      </c>
      <c r="AJ1435" s="35" t="s">
        <v>2278</v>
      </c>
      <c r="AK1435" s="40" t="s">
        <v>2052</v>
      </c>
      <c r="AL1435" s="32">
        <v>2022</v>
      </c>
      <c r="AM1435" s="32" t="s">
        <v>2053</v>
      </c>
      <c r="AN1435" s="32" t="s">
        <v>2054</v>
      </c>
      <c r="AO1435" s="38" t="s">
        <v>2055</v>
      </c>
      <c r="AP1435" s="35" t="s">
        <v>396</v>
      </c>
    </row>
    <row r="1436" spans="1:42" x14ac:dyDescent="0.2">
      <c r="A1436" s="40">
        <v>141</v>
      </c>
      <c r="B1436" s="40">
        <v>1435</v>
      </c>
      <c r="C1436" s="40" t="s">
        <v>59</v>
      </c>
      <c r="D1436" s="38" t="s">
        <v>209</v>
      </c>
      <c r="E1436" s="32" t="s">
        <v>2186</v>
      </c>
      <c r="F1436" s="32" t="s">
        <v>29</v>
      </c>
      <c r="G1436" s="38" t="s">
        <v>29</v>
      </c>
      <c r="H1436" s="32" t="s">
        <v>242</v>
      </c>
      <c r="I1436" s="32" t="s">
        <v>243</v>
      </c>
      <c r="J1436" s="32" t="s">
        <v>2029</v>
      </c>
      <c r="K1436" s="32" t="s">
        <v>1513</v>
      </c>
      <c r="L1436" s="32" t="s">
        <v>30</v>
      </c>
      <c r="M1436" s="32" t="s">
        <v>30</v>
      </c>
      <c r="N1436" s="40">
        <v>1998</v>
      </c>
      <c r="O1436" s="32">
        <f>VLOOKUP(Data!N1003, CPI!$A$2:$B$112, 2, 0)</f>
        <v>236.73599999999999</v>
      </c>
      <c r="P1436" s="32" t="s">
        <v>132</v>
      </c>
      <c r="Q1436" s="32" t="s">
        <v>239</v>
      </c>
      <c r="R1436" s="32" t="s">
        <v>2048</v>
      </c>
      <c r="S1436" s="32">
        <v>900000</v>
      </c>
      <c r="T1436" s="32" t="s">
        <v>300</v>
      </c>
      <c r="U1436" s="32">
        <f t="shared" si="91"/>
        <v>237.4043787918755</v>
      </c>
      <c r="V1436" s="32" t="s">
        <v>316</v>
      </c>
      <c r="X1436" s="32">
        <f t="shared" si="92"/>
        <v>237.4043787918755</v>
      </c>
      <c r="Y1436" s="32">
        <f>(CPI!$B$112/O1436)*X1436</f>
        <v>305.53694649769182</v>
      </c>
      <c r="Z1436" s="38" t="s">
        <v>262</v>
      </c>
      <c r="AA1436" s="35" t="s">
        <v>1447</v>
      </c>
      <c r="AB1436" s="32">
        <v>3791</v>
      </c>
      <c r="AC1436" s="32" t="s">
        <v>1412</v>
      </c>
      <c r="AH1436" s="32" t="s">
        <v>411</v>
      </c>
      <c r="AJ1436" s="35" t="s">
        <v>2278</v>
      </c>
      <c r="AK1436" s="40" t="s">
        <v>2052</v>
      </c>
      <c r="AL1436" s="32">
        <v>2022</v>
      </c>
      <c r="AM1436" s="32" t="s">
        <v>2053</v>
      </c>
      <c r="AN1436" s="32" t="s">
        <v>2054</v>
      </c>
      <c r="AO1436" s="38" t="s">
        <v>2055</v>
      </c>
      <c r="AP1436" s="35" t="s">
        <v>396</v>
      </c>
    </row>
    <row r="1437" spans="1:42" x14ac:dyDescent="0.2">
      <c r="A1437" s="40">
        <v>141</v>
      </c>
      <c r="B1437" s="40">
        <v>1436</v>
      </c>
      <c r="C1437" s="40" t="s">
        <v>21</v>
      </c>
      <c r="D1437" s="38" t="s">
        <v>21</v>
      </c>
      <c r="E1437" s="32" t="s">
        <v>2186</v>
      </c>
      <c r="F1437" s="32" t="s">
        <v>29</v>
      </c>
      <c r="G1437" s="38" t="s">
        <v>29</v>
      </c>
      <c r="H1437" s="32" t="s">
        <v>242</v>
      </c>
      <c r="I1437" s="32" t="s">
        <v>243</v>
      </c>
      <c r="J1437" s="32" t="s">
        <v>2029</v>
      </c>
      <c r="K1437" s="32" t="s">
        <v>1513</v>
      </c>
      <c r="L1437" s="32" t="s">
        <v>30</v>
      </c>
      <c r="M1437" s="32" t="s">
        <v>30</v>
      </c>
      <c r="N1437" s="40">
        <v>1998</v>
      </c>
      <c r="O1437" s="32">
        <f>VLOOKUP(Data!N1004, CPI!$A$2:$B$112, 2, 0)</f>
        <v>236.73599999999999</v>
      </c>
      <c r="P1437" s="32" t="s">
        <v>132</v>
      </c>
      <c r="Q1437" s="32" t="s">
        <v>239</v>
      </c>
      <c r="R1437" s="32" t="s">
        <v>2049</v>
      </c>
      <c r="S1437" s="32">
        <v>0</v>
      </c>
      <c r="T1437" s="32" t="s">
        <v>300</v>
      </c>
      <c r="U1437" s="32">
        <f t="shared" si="91"/>
        <v>0</v>
      </c>
      <c r="V1437" s="32" t="s">
        <v>316</v>
      </c>
      <c r="X1437" s="32">
        <f t="shared" si="92"/>
        <v>0</v>
      </c>
      <c r="Y1437" s="32">
        <f>(CPI!$B$112/O1437)*X1437</f>
        <v>0</v>
      </c>
      <c r="Z1437" s="38" t="s">
        <v>262</v>
      </c>
      <c r="AA1437" s="35" t="s">
        <v>1447</v>
      </c>
      <c r="AB1437" s="32">
        <v>4070</v>
      </c>
      <c r="AC1437" s="32" t="s">
        <v>1412</v>
      </c>
      <c r="AH1437" s="32" t="s">
        <v>411</v>
      </c>
      <c r="AJ1437" s="35" t="s">
        <v>2278</v>
      </c>
      <c r="AK1437" s="40" t="s">
        <v>2052</v>
      </c>
      <c r="AL1437" s="32">
        <v>2022</v>
      </c>
      <c r="AM1437" s="32" t="s">
        <v>2053</v>
      </c>
      <c r="AN1437" s="32" t="s">
        <v>2054</v>
      </c>
      <c r="AO1437" s="38" t="s">
        <v>2055</v>
      </c>
      <c r="AP1437" s="35" t="s">
        <v>396</v>
      </c>
    </row>
    <row r="1438" spans="1:42" x14ac:dyDescent="0.2">
      <c r="A1438" s="40">
        <v>141</v>
      </c>
      <c r="B1438" s="40">
        <v>1437</v>
      </c>
      <c r="C1438" s="40" t="s">
        <v>39</v>
      </c>
      <c r="D1438" s="38" t="s">
        <v>38</v>
      </c>
      <c r="E1438" s="32" t="s">
        <v>2186</v>
      </c>
      <c r="F1438" s="32" t="s">
        <v>29</v>
      </c>
      <c r="G1438" s="38" t="s">
        <v>29</v>
      </c>
      <c r="H1438" s="32" t="s">
        <v>242</v>
      </c>
      <c r="I1438" s="32" t="s">
        <v>243</v>
      </c>
      <c r="J1438" s="32" t="s">
        <v>2029</v>
      </c>
      <c r="K1438" s="32" t="s">
        <v>1513</v>
      </c>
      <c r="L1438" s="32" t="s">
        <v>30</v>
      </c>
      <c r="M1438" s="32" t="s">
        <v>30</v>
      </c>
      <c r="N1438" s="40">
        <v>1998</v>
      </c>
      <c r="O1438" s="32">
        <f>VLOOKUP(Data!N1005, CPI!$A$2:$B$112, 2, 0)</f>
        <v>236.73599999999999</v>
      </c>
      <c r="P1438" s="32" t="s">
        <v>132</v>
      </c>
      <c r="Q1438" s="32" t="s">
        <v>239</v>
      </c>
      <c r="R1438" s="32" t="s">
        <v>2050</v>
      </c>
      <c r="S1438" s="32">
        <v>200000</v>
      </c>
      <c r="T1438" s="32" t="s">
        <v>300</v>
      </c>
      <c r="U1438" s="32">
        <f t="shared" si="91"/>
        <v>107.87486515641855</v>
      </c>
      <c r="V1438" s="32" t="s">
        <v>316</v>
      </c>
      <c r="X1438" s="32">
        <f t="shared" si="92"/>
        <v>107.87486515641855</v>
      </c>
      <c r="Y1438" s="32">
        <f>(CPI!$B$112/O1438)*X1438</f>
        <v>138.83382046898592</v>
      </c>
      <c r="Z1438" s="38" t="s">
        <v>262</v>
      </c>
      <c r="AA1438" s="35" t="s">
        <v>1447</v>
      </c>
      <c r="AB1438" s="32">
        <v>1854</v>
      </c>
      <c r="AC1438" s="32" t="s">
        <v>1412</v>
      </c>
      <c r="AH1438" s="32" t="s">
        <v>411</v>
      </c>
      <c r="AJ1438" s="35" t="s">
        <v>2278</v>
      </c>
      <c r="AK1438" s="40" t="s">
        <v>2052</v>
      </c>
      <c r="AL1438" s="32">
        <v>2022</v>
      </c>
      <c r="AM1438" s="32" t="s">
        <v>2053</v>
      </c>
      <c r="AN1438" s="32" t="s">
        <v>2054</v>
      </c>
      <c r="AO1438" s="38" t="s">
        <v>2055</v>
      </c>
      <c r="AP1438" s="35" t="s">
        <v>396</v>
      </c>
    </row>
    <row r="1439" spans="1:42" x14ac:dyDescent="0.2">
      <c r="A1439" s="40">
        <v>141</v>
      </c>
      <c r="B1439" s="40">
        <v>1438</v>
      </c>
      <c r="C1439" s="40" t="s">
        <v>357</v>
      </c>
      <c r="D1439" s="38" t="s">
        <v>49</v>
      </c>
      <c r="E1439" s="32" t="s">
        <v>2186</v>
      </c>
      <c r="F1439" s="32" t="s">
        <v>29</v>
      </c>
      <c r="G1439" s="38" t="s">
        <v>29</v>
      </c>
      <c r="H1439" s="32" t="s">
        <v>242</v>
      </c>
      <c r="I1439" s="32" t="s">
        <v>243</v>
      </c>
      <c r="J1439" s="32" t="s">
        <v>2029</v>
      </c>
      <c r="K1439" s="32" t="s">
        <v>1513</v>
      </c>
      <c r="L1439" s="32" t="s">
        <v>30</v>
      </c>
      <c r="M1439" s="32" t="s">
        <v>30</v>
      </c>
      <c r="N1439" s="40">
        <v>1998</v>
      </c>
      <c r="O1439" s="32">
        <f>VLOOKUP(Data!N1006, CPI!$A$2:$B$112, 2, 0)</f>
        <v>236.73599999999999</v>
      </c>
      <c r="P1439" s="32" t="s">
        <v>132</v>
      </c>
      <c r="Q1439" s="32" t="s">
        <v>239</v>
      </c>
      <c r="R1439" s="32" t="s">
        <v>2051</v>
      </c>
      <c r="S1439" s="32">
        <v>1600000</v>
      </c>
      <c r="T1439" s="32" t="s">
        <v>300</v>
      </c>
      <c r="U1439" s="32">
        <f t="shared" si="91"/>
        <v>8421.0526315789466</v>
      </c>
      <c r="V1439" s="32" t="s">
        <v>316</v>
      </c>
      <c r="X1439" s="32">
        <f t="shared" si="92"/>
        <v>8421.0526315789466</v>
      </c>
      <c r="Y1439" s="32">
        <f>(CPI!$B$112/O1439)*X1439</f>
        <v>10837.806448399995</v>
      </c>
      <c r="Z1439" s="38" t="s">
        <v>262</v>
      </c>
      <c r="AA1439" s="35" t="s">
        <v>1447</v>
      </c>
      <c r="AB1439" s="32">
        <v>190</v>
      </c>
      <c r="AC1439" s="32" t="s">
        <v>1412</v>
      </c>
      <c r="AH1439" s="32" t="s">
        <v>411</v>
      </c>
      <c r="AJ1439" s="35" t="s">
        <v>2278</v>
      </c>
      <c r="AK1439" s="40" t="s">
        <v>2052</v>
      </c>
      <c r="AL1439" s="32">
        <v>2022</v>
      </c>
      <c r="AM1439" s="32" t="s">
        <v>2053</v>
      </c>
      <c r="AN1439" s="32" t="s">
        <v>2054</v>
      </c>
      <c r="AO1439" s="38" t="s">
        <v>2055</v>
      </c>
      <c r="AP1439" s="35" t="s">
        <v>396</v>
      </c>
    </row>
    <row r="1440" spans="1:42" x14ac:dyDescent="0.2">
      <c r="A1440" s="40">
        <v>141</v>
      </c>
      <c r="B1440" s="40">
        <v>1439</v>
      </c>
      <c r="C1440" s="40" t="s">
        <v>119</v>
      </c>
      <c r="D1440" s="38" t="s">
        <v>128</v>
      </c>
      <c r="E1440" s="32" t="s">
        <v>2186</v>
      </c>
      <c r="F1440" s="32" t="s">
        <v>29</v>
      </c>
      <c r="G1440" s="38" t="s">
        <v>29</v>
      </c>
      <c r="H1440" s="32" t="s">
        <v>242</v>
      </c>
      <c r="I1440" s="32" t="s">
        <v>243</v>
      </c>
      <c r="J1440" s="32" t="s">
        <v>2029</v>
      </c>
      <c r="K1440" s="32" t="s">
        <v>1513</v>
      </c>
      <c r="L1440" s="32" t="s">
        <v>30</v>
      </c>
      <c r="M1440" s="32" t="s">
        <v>30</v>
      </c>
      <c r="N1440" s="40">
        <v>2007</v>
      </c>
      <c r="O1440" s="32">
        <f>VLOOKUP(Data!N1007, CPI!$A$2:$B$112, 2, 0)</f>
        <v>236.73599999999999</v>
      </c>
      <c r="P1440" s="32" t="s">
        <v>132</v>
      </c>
      <c r="Q1440" s="32" t="s">
        <v>239</v>
      </c>
      <c r="R1440" s="32" t="s">
        <v>2047</v>
      </c>
      <c r="S1440" s="32">
        <v>58300000</v>
      </c>
      <c r="T1440" s="32" t="s">
        <v>300</v>
      </c>
      <c r="U1440" s="32">
        <f t="shared" si="91"/>
        <v>2001.9229448526887</v>
      </c>
      <c r="V1440" s="32" t="s">
        <v>316</v>
      </c>
      <c r="X1440" s="32">
        <f t="shared" si="92"/>
        <v>2001.9229448526887</v>
      </c>
      <c r="Y1440" s="32">
        <f>(CPI!$B$112/O1440)*X1440</f>
        <v>2576.4538413597702</v>
      </c>
      <c r="Z1440" s="38" t="s">
        <v>262</v>
      </c>
      <c r="AA1440" s="35" t="s">
        <v>1447</v>
      </c>
      <c r="AB1440" s="32">
        <v>29122</v>
      </c>
      <c r="AC1440" s="32" t="s">
        <v>1412</v>
      </c>
      <c r="AH1440" s="32" t="s">
        <v>411</v>
      </c>
      <c r="AJ1440" s="35" t="s">
        <v>2278</v>
      </c>
      <c r="AK1440" s="40" t="s">
        <v>2052</v>
      </c>
      <c r="AL1440" s="32">
        <v>2022</v>
      </c>
      <c r="AM1440" s="32" t="s">
        <v>2053</v>
      </c>
      <c r="AN1440" s="32" t="s">
        <v>2054</v>
      </c>
      <c r="AO1440" s="38" t="s">
        <v>2055</v>
      </c>
      <c r="AP1440" s="35" t="s">
        <v>396</v>
      </c>
    </row>
    <row r="1441" spans="1:42" x14ac:dyDescent="0.2">
      <c r="A1441" s="40">
        <v>141</v>
      </c>
      <c r="B1441" s="40">
        <v>1440</v>
      </c>
      <c r="C1441" s="40" t="s">
        <v>59</v>
      </c>
      <c r="D1441" s="38" t="s">
        <v>209</v>
      </c>
      <c r="E1441" s="32" t="s">
        <v>2186</v>
      </c>
      <c r="F1441" s="32" t="s">
        <v>29</v>
      </c>
      <c r="G1441" s="38" t="s">
        <v>29</v>
      </c>
      <c r="H1441" s="32" t="s">
        <v>242</v>
      </c>
      <c r="I1441" s="32" t="s">
        <v>243</v>
      </c>
      <c r="J1441" s="32" t="s">
        <v>2029</v>
      </c>
      <c r="K1441" s="32" t="s">
        <v>1513</v>
      </c>
      <c r="L1441" s="32" t="s">
        <v>30</v>
      </c>
      <c r="M1441" s="32" t="s">
        <v>30</v>
      </c>
      <c r="N1441" s="40">
        <v>2007</v>
      </c>
      <c r="O1441" s="32">
        <f>VLOOKUP(Data!N1008, CPI!$A$2:$B$112, 2, 0)</f>
        <v>236.73599999999999</v>
      </c>
      <c r="P1441" s="32" t="s">
        <v>132</v>
      </c>
      <c r="Q1441" s="32" t="s">
        <v>239</v>
      </c>
      <c r="R1441" s="32" t="s">
        <v>2048</v>
      </c>
      <c r="S1441" s="32">
        <v>1100000</v>
      </c>
      <c r="T1441" s="32" t="s">
        <v>300</v>
      </c>
      <c r="U1441" s="32">
        <f t="shared" si="91"/>
        <v>240.54231357970698</v>
      </c>
      <c r="V1441" s="32" t="s">
        <v>316</v>
      </c>
      <c r="X1441" s="32">
        <f t="shared" si="92"/>
        <v>240.54231357970698</v>
      </c>
      <c r="Y1441" s="32">
        <f>(CPI!$B$112/O1441)*X1441</f>
        <v>309.57543567073026</v>
      </c>
      <c r="Z1441" s="38" t="s">
        <v>262</v>
      </c>
      <c r="AA1441" s="35" t="s">
        <v>1447</v>
      </c>
      <c r="AB1441" s="32">
        <v>4573</v>
      </c>
      <c r="AC1441" s="32" t="s">
        <v>1412</v>
      </c>
      <c r="AH1441" s="32" t="s">
        <v>411</v>
      </c>
      <c r="AJ1441" s="35" t="s">
        <v>2278</v>
      </c>
      <c r="AK1441" s="40" t="s">
        <v>2052</v>
      </c>
      <c r="AL1441" s="32">
        <v>2022</v>
      </c>
      <c r="AM1441" s="32" t="s">
        <v>2053</v>
      </c>
      <c r="AN1441" s="32" t="s">
        <v>2054</v>
      </c>
      <c r="AO1441" s="38" t="s">
        <v>2055</v>
      </c>
      <c r="AP1441" s="35" t="s">
        <v>396</v>
      </c>
    </row>
    <row r="1442" spans="1:42" x14ac:dyDescent="0.2">
      <c r="A1442" s="40">
        <v>141</v>
      </c>
      <c r="B1442" s="40">
        <v>1441</v>
      </c>
      <c r="C1442" s="40" t="s">
        <v>21</v>
      </c>
      <c r="D1442" s="38" t="s">
        <v>21</v>
      </c>
      <c r="E1442" s="32" t="s">
        <v>2186</v>
      </c>
      <c r="F1442" s="32" t="s">
        <v>29</v>
      </c>
      <c r="G1442" s="38" t="s">
        <v>29</v>
      </c>
      <c r="H1442" s="32" t="s">
        <v>242</v>
      </c>
      <c r="I1442" s="32" t="s">
        <v>243</v>
      </c>
      <c r="J1442" s="32" t="s">
        <v>2029</v>
      </c>
      <c r="K1442" s="32" t="s">
        <v>1513</v>
      </c>
      <c r="L1442" s="32" t="s">
        <v>30</v>
      </c>
      <c r="M1442" s="32" t="s">
        <v>30</v>
      </c>
      <c r="N1442" s="40">
        <v>2007</v>
      </c>
      <c r="O1442" s="32">
        <f>VLOOKUP(Data!N1009, CPI!$A$2:$B$112, 2, 0)</f>
        <v>236.73599999999999</v>
      </c>
      <c r="P1442" s="32" t="s">
        <v>132</v>
      </c>
      <c r="Q1442" s="32" t="s">
        <v>239</v>
      </c>
      <c r="R1442" s="32" t="s">
        <v>2049</v>
      </c>
      <c r="S1442" s="32">
        <v>0</v>
      </c>
      <c r="T1442" s="32" t="s">
        <v>300</v>
      </c>
      <c r="U1442" s="32">
        <f t="shared" si="91"/>
        <v>0</v>
      </c>
      <c r="V1442" s="32" t="s">
        <v>316</v>
      </c>
      <c r="X1442" s="32">
        <f t="shared" si="92"/>
        <v>0</v>
      </c>
      <c r="Y1442" s="32">
        <f>(CPI!$B$112/O1442)*X1442</f>
        <v>0</v>
      </c>
      <c r="Z1442" s="38" t="s">
        <v>262</v>
      </c>
      <c r="AA1442" s="35" t="s">
        <v>1447</v>
      </c>
      <c r="AB1442" s="32">
        <v>4165</v>
      </c>
      <c r="AC1442" s="32" t="s">
        <v>1412</v>
      </c>
      <c r="AH1442" s="32" t="s">
        <v>411</v>
      </c>
      <c r="AJ1442" s="35" t="s">
        <v>2278</v>
      </c>
      <c r="AK1442" s="40" t="s">
        <v>2052</v>
      </c>
      <c r="AL1442" s="32">
        <v>2022</v>
      </c>
      <c r="AM1442" s="32" t="s">
        <v>2053</v>
      </c>
      <c r="AN1442" s="32" t="s">
        <v>2054</v>
      </c>
      <c r="AO1442" s="38" t="s">
        <v>2055</v>
      </c>
      <c r="AP1442" s="35" t="s">
        <v>396</v>
      </c>
    </row>
    <row r="1443" spans="1:42" x14ac:dyDescent="0.2">
      <c r="A1443" s="40">
        <v>141</v>
      </c>
      <c r="B1443" s="40">
        <v>1442</v>
      </c>
      <c r="C1443" s="40" t="s">
        <v>39</v>
      </c>
      <c r="D1443" s="38" t="s">
        <v>38</v>
      </c>
      <c r="E1443" s="32" t="s">
        <v>2186</v>
      </c>
      <c r="F1443" s="32" t="s">
        <v>29</v>
      </c>
      <c r="G1443" s="38" t="s">
        <v>29</v>
      </c>
      <c r="H1443" s="32" t="s">
        <v>242</v>
      </c>
      <c r="I1443" s="32" t="s">
        <v>243</v>
      </c>
      <c r="J1443" s="32" t="s">
        <v>2029</v>
      </c>
      <c r="K1443" s="32" t="s">
        <v>1513</v>
      </c>
      <c r="L1443" s="32" t="s">
        <v>30</v>
      </c>
      <c r="M1443" s="32" t="s">
        <v>30</v>
      </c>
      <c r="N1443" s="40">
        <v>2007</v>
      </c>
      <c r="O1443" s="32">
        <f>VLOOKUP(Data!N1010, CPI!$A$2:$B$112, 2, 0)</f>
        <v>236.73599999999999</v>
      </c>
      <c r="P1443" s="32" t="s">
        <v>132</v>
      </c>
      <c r="Q1443" s="32" t="s">
        <v>239</v>
      </c>
      <c r="R1443" s="32" t="s">
        <v>2050</v>
      </c>
      <c r="S1443" s="32">
        <v>200000</v>
      </c>
      <c r="T1443" s="32" t="s">
        <v>300</v>
      </c>
      <c r="U1443" s="32">
        <f t="shared" si="91"/>
        <v>80.938891137191419</v>
      </c>
      <c r="V1443" s="32" t="s">
        <v>316</v>
      </c>
      <c r="X1443" s="32">
        <f t="shared" si="92"/>
        <v>80.938891137191419</v>
      </c>
      <c r="Y1443" s="32">
        <f>(CPI!$B$112/O1443)*X1443</f>
        <v>104.16750430979357</v>
      </c>
      <c r="Z1443" s="38" t="s">
        <v>262</v>
      </c>
      <c r="AA1443" s="35" t="s">
        <v>1447</v>
      </c>
      <c r="AB1443" s="32">
        <v>2471</v>
      </c>
      <c r="AC1443" s="32" t="s">
        <v>1412</v>
      </c>
      <c r="AH1443" s="32" t="s">
        <v>411</v>
      </c>
      <c r="AJ1443" s="35" t="s">
        <v>2278</v>
      </c>
      <c r="AK1443" s="40" t="s">
        <v>2052</v>
      </c>
      <c r="AL1443" s="32">
        <v>2022</v>
      </c>
      <c r="AM1443" s="32" t="s">
        <v>2053</v>
      </c>
      <c r="AN1443" s="32" t="s">
        <v>2054</v>
      </c>
      <c r="AO1443" s="38" t="s">
        <v>2055</v>
      </c>
      <c r="AP1443" s="35" t="s">
        <v>396</v>
      </c>
    </row>
    <row r="1444" spans="1:42" x14ac:dyDescent="0.2">
      <c r="A1444" s="40">
        <v>141</v>
      </c>
      <c r="B1444" s="40">
        <v>1443</v>
      </c>
      <c r="C1444" s="40" t="s">
        <v>357</v>
      </c>
      <c r="D1444" s="38" t="s">
        <v>49</v>
      </c>
      <c r="E1444" s="32" t="s">
        <v>2186</v>
      </c>
      <c r="F1444" s="32" t="s">
        <v>29</v>
      </c>
      <c r="G1444" s="38" t="s">
        <v>29</v>
      </c>
      <c r="H1444" s="32" t="s">
        <v>242</v>
      </c>
      <c r="I1444" s="32" t="s">
        <v>243</v>
      </c>
      <c r="J1444" s="32" t="s">
        <v>2029</v>
      </c>
      <c r="K1444" s="32" t="s">
        <v>1513</v>
      </c>
      <c r="L1444" s="32" t="s">
        <v>30</v>
      </c>
      <c r="M1444" s="32" t="s">
        <v>30</v>
      </c>
      <c r="N1444" s="40">
        <v>2007</v>
      </c>
      <c r="O1444" s="32">
        <f>VLOOKUP(Data!N1011, CPI!$A$2:$B$112, 2, 0)</f>
        <v>236.73599999999999</v>
      </c>
      <c r="P1444" s="32" t="s">
        <v>132</v>
      </c>
      <c r="Q1444" s="32" t="s">
        <v>239</v>
      </c>
      <c r="R1444" s="32" t="s">
        <v>2051</v>
      </c>
      <c r="S1444" s="32">
        <v>1000000</v>
      </c>
      <c r="T1444" s="32" t="s">
        <v>300</v>
      </c>
      <c r="U1444" s="32">
        <f t="shared" si="91"/>
        <v>8695.652173913044</v>
      </c>
      <c r="V1444" s="32" t="s">
        <v>316</v>
      </c>
      <c r="X1444" s="32">
        <f t="shared" si="92"/>
        <v>8695.652173913044</v>
      </c>
      <c r="Y1444" s="32">
        <f>(CPI!$B$112/O1444)*X1444</f>
        <v>11191.21318041304</v>
      </c>
      <c r="Z1444" s="38" t="s">
        <v>262</v>
      </c>
      <c r="AA1444" s="35" t="s">
        <v>1447</v>
      </c>
      <c r="AB1444" s="32">
        <v>115</v>
      </c>
      <c r="AC1444" s="32" t="s">
        <v>1412</v>
      </c>
      <c r="AH1444" s="32" t="s">
        <v>411</v>
      </c>
      <c r="AJ1444" s="35" t="s">
        <v>2278</v>
      </c>
      <c r="AK1444" s="40" t="s">
        <v>2052</v>
      </c>
      <c r="AL1444" s="32">
        <v>2022</v>
      </c>
      <c r="AM1444" s="32" t="s">
        <v>2053</v>
      </c>
      <c r="AN1444" s="32" t="s">
        <v>2054</v>
      </c>
      <c r="AO1444" s="38" t="s">
        <v>2055</v>
      </c>
      <c r="AP1444" s="35" t="s">
        <v>396</v>
      </c>
    </row>
    <row r="1445" spans="1:42" x14ac:dyDescent="0.2">
      <c r="A1445" s="40">
        <v>141</v>
      </c>
      <c r="B1445" s="40">
        <v>1444</v>
      </c>
      <c r="C1445" s="40" t="s">
        <v>119</v>
      </c>
      <c r="D1445" s="38" t="s">
        <v>128</v>
      </c>
      <c r="E1445" s="32" t="s">
        <v>2186</v>
      </c>
      <c r="F1445" s="32" t="s">
        <v>29</v>
      </c>
      <c r="G1445" s="38" t="s">
        <v>29</v>
      </c>
      <c r="H1445" s="32" t="s">
        <v>242</v>
      </c>
      <c r="I1445" s="32" t="s">
        <v>243</v>
      </c>
      <c r="J1445" s="32" t="s">
        <v>2029</v>
      </c>
      <c r="K1445" s="32" t="s">
        <v>1513</v>
      </c>
      <c r="L1445" s="32" t="s">
        <v>30</v>
      </c>
      <c r="M1445" s="32" t="s">
        <v>30</v>
      </c>
      <c r="N1445" s="40">
        <v>2017</v>
      </c>
      <c r="O1445" s="32">
        <f>VLOOKUP(Data!N1012, CPI!$A$2:$B$112, 2, 0)</f>
        <v>236.73599999999999</v>
      </c>
      <c r="P1445" s="32" t="s">
        <v>132</v>
      </c>
      <c r="Q1445" s="32" t="s">
        <v>239</v>
      </c>
      <c r="R1445" s="32" t="s">
        <v>2047</v>
      </c>
      <c r="S1445" s="32">
        <v>61900000</v>
      </c>
      <c r="T1445" s="32" t="s">
        <v>300</v>
      </c>
      <c r="U1445" s="32">
        <f t="shared" si="91"/>
        <v>2002.7177429791639</v>
      </c>
      <c r="V1445" s="32" t="s">
        <v>316</v>
      </c>
      <c r="X1445" s="32">
        <f t="shared" si="92"/>
        <v>2002.7177429791639</v>
      </c>
      <c r="Y1445" s="32">
        <f>(CPI!$B$112/O1445)*X1445</f>
        <v>2577.4767382156792</v>
      </c>
      <c r="Z1445" s="38" t="s">
        <v>262</v>
      </c>
      <c r="AA1445" s="35" t="s">
        <v>1447</v>
      </c>
      <c r="AB1445" s="32">
        <v>30908</v>
      </c>
      <c r="AC1445" s="32" t="s">
        <v>1412</v>
      </c>
      <c r="AH1445" s="32" t="s">
        <v>411</v>
      </c>
      <c r="AJ1445" s="35" t="s">
        <v>2278</v>
      </c>
      <c r="AK1445" s="40" t="s">
        <v>2052</v>
      </c>
      <c r="AL1445" s="32">
        <v>2022</v>
      </c>
      <c r="AM1445" s="32" t="s">
        <v>2053</v>
      </c>
      <c r="AN1445" s="32" t="s">
        <v>2054</v>
      </c>
      <c r="AO1445" s="38" t="s">
        <v>2055</v>
      </c>
      <c r="AP1445" s="35" t="s">
        <v>396</v>
      </c>
    </row>
    <row r="1446" spans="1:42" x14ac:dyDescent="0.2">
      <c r="A1446" s="40">
        <v>141</v>
      </c>
      <c r="B1446" s="40">
        <v>1445</v>
      </c>
      <c r="C1446" s="40" t="s">
        <v>59</v>
      </c>
      <c r="D1446" s="38" t="s">
        <v>209</v>
      </c>
      <c r="E1446" s="32" t="s">
        <v>2186</v>
      </c>
      <c r="F1446" s="32" t="s">
        <v>29</v>
      </c>
      <c r="G1446" s="38" t="s">
        <v>29</v>
      </c>
      <c r="H1446" s="32" t="s">
        <v>242</v>
      </c>
      <c r="I1446" s="32" t="s">
        <v>243</v>
      </c>
      <c r="J1446" s="32" t="s">
        <v>2029</v>
      </c>
      <c r="K1446" s="32" t="s">
        <v>1513</v>
      </c>
      <c r="L1446" s="32" t="s">
        <v>30</v>
      </c>
      <c r="M1446" s="32" t="s">
        <v>30</v>
      </c>
      <c r="N1446" s="40">
        <v>2017</v>
      </c>
      <c r="O1446" s="32">
        <f>VLOOKUP(Data!N1013, CPI!$A$2:$B$112, 2, 0)</f>
        <v>270.97000000000003</v>
      </c>
      <c r="P1446" s="32" t="s">
        <v>132</v>
      </c>
      <c r="Q1446" s="32" t="s">
        <v>239</v>
      </c>
      <c r="R1446" s="32" t="s">
        <v>2048</v>
      </c>
      <c r="S1446" s="32">
        <v>400000</v>
      </c>
      <c r="T1446" s="32" t="s">
        <v>300</v>
      </c>
      <c r="U1446" s="32">
        <f t="shared" si="91"/>
        <v>268.63666890530556</v>
      </c>
      <c r="V1446" s="32" t="s">
        <v>316</v>
      </c>
      <c r="X1446" s="32">
        <f t="shared" si="92"/>
        <v>268.63666890530556</v>
      </c>
      <c r="Y1446" s="32">
        <f>(CPI!$B$112/O1446)*X1446</f>
        <v>302.05316903308318</v>
      </c>
      <c r="Z1446" s="38" t="s">
        <v>262</v>
      </c>
      <c r="AA1446" s="35" t="s">
        <v>1447</v>
      </c>
      <c r="AB1446" s="32">
        <v>1489</v>
      </c>
      <c r="AC1446" s="32" t="s">
        <v>1412</v>
      </c>
      <c r="AH1446" s="32" t="s">
        <v>411</v>
      </c>
      <c r="AJ1446" s="35" t="s">
        <v>2278</v>
      </c>
      <c r="AK1446" s="40" t="s">
        <v>2052</v>
      </c>
      <c r="AL1446" s="32">
        <v>2022</v>
      </c>
      <c r="AM1446" s="32" t="s">
        <v>2053</v>
      </c>
      <c r="AN1446" s="32" t="s">
        <v>2054</v>
      </c>
      <c r="AO1446" s="38" t="s">
        <v>2055</v>
      </c>
      <c r="AP1446" s="35" t="s">
        <v>396</v>
      </c>
    </row>
    <row r="1447" spans="1:42" x14ac:dyDescent="0.2">
      <c r="A1447" s="40">
        <v>141</v>
      </c>
      <c r="B1447" s="40">
        <v>1446</v>
      </c>
      <c r="C1447" s="40" t="s">
        <v>21</v>
      </c>
      <c r="D1447" s="38" t="s">
        <v>21</v>
      </c>
      <c r="E1447" s="32" t="s">
        <v>2186</v>
      </c>
      <c r="F1447" s="32" t="s">
        <v>29</v>
      </c>
      <c r="G1447" s="38" t="s">
        <v>29</v>
      </c>
      <c r="H1447" s="32" t="s">
        <v>242</v>
      </c>
      <c r="I1447" s="32" t="s">
        <v>243</v>
      </c>
      <c r="J1447" s="32" t="s">
        <v>2029</v>
      </c>
      <c r="K1447" s="32" t="s">
        <v>1513</v>
      </c>
      <c r="L1447" s="32" t="s">
        <v>30</v>
      </c>
      <c r="M1447" s="32" t="s">
        <v>30</v>
      </c>
      <c r="N1447" s="40">
        <v>2017</v>
      </c>
      <c r="O1447" s="32">
        <f>VLOOKUP(Data!N1014, CPI!$A$2:$B$112, 2, 0)</f>
        <v>270.97000000000003</v>
      </c>
      <c r="P1447" s="32" t="s">
        <v>132</v>
      </c>
      <c r="Q1447" s="32" t="s">
        <v>239</v>
      </c>
      <c r="R1447" s="32" t="s">
        <v>2049</v>
      </c>
      <c r="S1447" s="32">
        <v>0</v>
      </c>
      <c r="T1447" s="32" t="s">
        <v>300</v>
      </c>
      <c r="U1447" s="32">
        <f t="shared" si="91"/>
        <v>0</v>
      </c>
      <c r="V1447" s="32" t="s">
        <v>316</v>
      </c>
      <c r="X1447" s="32">
        <f t="shared" si="92"/>
        <v>0</v>
      </c>
      <c r="Y1447" s="32">
        <f>(CPI!$B$112/O1447)*X1447</f>
        <v>0</v>
      </c>
      <c r="Z1447" s="38" t="s">
        <v>262</v>
      </c>
      <c r="AA1447" s="35" t="s">
        <v>1447</v>
      </c>
      <c r="AB1447" s="32">
        <v>6161</v>
      </c>
      <c r="AC1447" s="32" t="s">
        <v>1412</v>
      </c>
      <c r="AH1447" s="32" t="s">
        <v>411</v>
      </c>
      <c r="AJ1447" s="35" t="s">
        <v>2278</v>
      </c>
      <c r="AK1447" s="40" t="s">
        <v>2052</v>
      </c>
      <c r="AL1447" s="32">
        <v>2022</v>
      </c>
      <c r="AM1447" s="32" t="s">
        <v>2053</v>
      </c>
      <c r="AN1447" s="32" t="s">
        <v>2054</v>
      </c>
      <c r="AO1447" s="38" t="s">
        <v>2055</v>
      </c>
      <c r="AP1447" s="35" t="s">
        <v>396</v>
      </c>
    </row>
    <row r="1448" spans="1:42" x14ac:dyDescent="0.2">
      <c r="A1448" s="40">
        <v>141</v>
      </c>
      <c r="B1448" s="40">
        <v>1447</v>
      </c>
      <c r="C1448" s="40" t="s">
        <v>39</v>
      </c>
      <c r="D1448" s="38" t="s">
        <v>38</v>
      </c>
      <c r="E1448" s="32" t="s">
        <v>2186</v>
      </c>
      <c r="F1448" s="32" t="s">
        <v>29</v>
      </c>
      <c r="G1448" s="38" t="s">
        <v>29</v>
      </c>
      <c r="H1448" s="32" t="s">
        <v>242</v>
      </c>
      <c r="I1448" s="32" t="s">
        <v>243</v>
      </c>
      <c r="J1448" s="32" t="s">
        <v>2029</v>
      </c>
      <c r="K1448" s="32" t="s">
        <v>1513</v>
      </c>
      <c r="L1448" s="32" t="s">
        <v>30</v>
      </c>
      <c r="M1448" s="32" t="s">
        <v>30</v>
      </c>
      <c r="N1448" s="40">
        <v>2017</v>
      </c>
      <c r="O1448" s="32">
        <f>VLOOKUP(Data!N1015, CPI!$A$2:$B$112, 2, 0)</f>
        <v>270.97000000000003</v>
      </c>
      <c r="P1448" s="32" t="s">
        <v>132</v>
      </c>
      <c r="Q1448" s="32" t="s">
        <v>239</v>
      </c>
      <c r="R1448" s="32" t="s">
        <v>2050</v>
      </c>
      <c r="S1448" s="32">
        <v>200000</v>
      </c>
      <c r="T1448" s="32" t="s">
        <v>300</v>
      </c>
      <c r="U1448" s="32">
        <f t="shared" si="91"/>
        <v>112.67605633802818</v>
      </c>
      <c r="V1448" s="32" t="s">
        <v>316</v>
      </c>
      <c r="X1448" s="32">
        <f t="shared" si="92"/>
        <v>112.67605633802818</v>
      </c>
      <c r="Y1448" s="32">
        <f>(CPI!$B$112/O1448)*X1448</f>
        <v>126.69216019443971</v>
      </c>
      <c r="Z1448" s="38" t="s">
        <v>262</v>
      </c>
      <c r="AA1448" s="35" t="s">
        <v>1447</v>
      </c>
      <c r="AB1448" s="32">
        <v>1775</v>
      </c>
      <c r="AC1448" s="32" t="s">
        <v>1412</v>
      </c>
      <c r="AH1448" s="32" t="s">
        <v>411</v>
      </c>
      <c r="AJ1448" s="35" t="s">
        <v>2278</v>
      </c>
      <c r="AK1448" s="40" t="s">
        <v>2052</v>
      </c>
      <c r="AL1448" s="32">
        <v>2022</v>
      </c>
      <c r="AM1448" s="32" t="s">
        <v>2053</v>
      </c>
      <c r="AN1448" s="32" t="s">
        <v>2054</v>
      </c>
      <c r="AO1448" s="38" t="s">
        <v>2055</v>
      </c>
      <c r="AP1448" s="35" t="s">
        <v>396</v>
      </c>
    </row>
    <row r="1449" spans="1:42" x14ac:dyDescent="0.2">
      <c r="A1449" s="40">
        <v>141</v>
      </c>
      <c r="B1449" s="40">
        <v>1448</v>
      </c>
      <c r="C1449" s="40" t="s">
        <v>357</v>
      </c>
      <c r="D1449" s="38" t="s">
        <v>49</v>
      </c>
      <c r="E1449" s="32" t="s">
        <v>2186</v>
      </c>
      <c r="F1449" s="32" t="s">
        <v>29</v>
      </c>
      <c r="G1449" s="38" t="s">
        <v>29</v>
      </c>
      <c r="H1449" s="32" t="s">
        <v>242</v>
      </c>
      <c r="I1449" s="32" t="s">
        <v>243</v>
      </c>
      <c r="J1449" s="32" t="s">
        <v>2029</v>
      </c>
      <c r="K1449" s="32" t="s">
        <v>1513</v>
      </c>
      <c r="L1449" s="32" t="s">
        <v>30</v>
      </c>
      <c r="M1449" s="32" t="s">
        <v>30</v>
      </c>
      <c r="N1449" s="40">
        <v>2017</v>
      </c>
      <c r="O1449" s="32">
        <f>VLOOKUP(Data!N1016, CPI!$A$2:$B$112, 2, 0)</f>
        <v>270.97000000000003</v>
      </c>
      <c r="P1449" s="32" t="s">
        <v>132</v>
      </c>
      <c r="Q1449" s="32" t="s">
        <v>239</v>
      </c>
      <c r="R1449" s="32" t="s">
        <v>2051</v>
      </c>
      <c r="S1449" s="32">
        <v>1000000</v>
      </c>
      <c r="T1449" s="32" t="s">
        <v>300</v>
      </c>
      <c r="U1449" s="32">
        <f t="shared" si="91"/>
        <v>8849.5575221238942</v>
      </c>
      <c r="V1449" s="32" t="s">
        <v>316</v>
      </c>
      <c r="X1449" s="32">
        <f t="shared" si="92"/>
        <v>8849.5575221238942</v>
      </c>
      <c r="Y1449" s="32">
        <f>(CPI!$B$112/O1449)*X1449</f>
        <v>9950.3798382801087</v>
      </c>
      <c r="Z1449" s="38" t="s">
        <v>262</v>
      </c>
      <c r="AA1449" s="35" t="s">
        <v>1447</v>
      </c>
      <c r="AB1449" s="32">
        <v>113</v>
      </c>
      <c r="AC1449" s="32" t="s">
        <v>1412</v>
      </c>
      <c r="AH1449" s="32" t="s">
        <v>411</v>
      </c>
      <c r="AJ1449" s="35" t="s">
        <v>2278</v>
      </c>
      <c r="AK1449" s="40" t="s">
        <v>2052</v>
      </c>
      <c r="AL1449" s="32">
        <v>2022</v>
      </c>
      <c r="AM1449" s="32" t="s">
        <v>2053</v>
      </c>
      <c r="AN1449" s="32" t="s">
        <v>2054</v>
      </c>
      <c r="AO1449" s="38" t="s">
        <v>2055</v>
      </c>
      <c r="AP1449" s="35" t="s">
        <v>396</v>
      </c>
    </row>
    <row r="1450" spans="1:42" x14ac:dyDescent="0.2">
      <c r="A1450" s="40">
        <v>142</v>
      </c>
      <c r="B1450" s="40">
        <v>1449</v>
      </c>
      <c r="C1450" s="40" t="s">
        <v>241</v>
      </c>
      <c r="D1450" s="38" t="s">
        <v>240</v>
      </c>
      <c r="E1450" s="32" t="s">
        <v>2183</v>
      </c>
      <c r="F1450" s="32" t="s">
        <v>51</v>
      </c>
      <c r="G1450" s="38" t="s">
        <v>2917</v>
      </c>
      <c r="H1450" s="32" t="s">
        <v>242</v>
      </c>
      <c r="I1450" s="32" t="s">
        <v>137</v>
      </c>
      <c r="J1450" s="32" t="s">
        <v>1513</v>
      </c>
      <c r="K1450" s="32" t="s">
        <v>1513</v>
      </c>
      <c r="L1450" s="32" t="s">
        <v>30</v>
      </c>
      <c r="M1450" s="32" t="s">
        <v>30</v>
      </c>
      <c r="N1450" s="40">
        <v>2018</v>
      </c>
      <c r="O1450" s="32">
        <f>VLOOKUP(Data!N1569, CPI!$A$2:$B$112, 2, 0)</f>
        <v>172.2</v>
      </c>
      <c r="P1450" s="32" t="s">
        <v>238</v>
      </c>
      <c r="Q1450" s="32" t="s">
        <v>239</v>
      </c>
      <c r="R1450" s="32" t="s">
        <v>2056</v>
      </c>
      <c r="S1450" s="32">
        <v>30</v>
      </c>
      <c r="T1450" s="32" t="s">
        <v>608</v>
      </c>
      <c r="Z1450" s="38" t="s">
        <v>262</v>
      </c>
      <c r="AA1450" s="35" t="s">
        <v>2057</v>
      </c>
      <c r="AB1450" s="32" t="s">
        <v>30</v>
      </c>
      <c r="AH1450" s="32" t="s">
        <v>397</v>
      </c>
      <c r="AI1450" s="32" t="s">
        <v>2771</v>
      </c>
      <c r="AK1450" s="40" t="s">
        <v>2058</v>
      </c>
      <c r="AL1450" s="32">
        <v>2018</v>
      </c>
      <c r="AM1450" s="32" t="s">
        <v>2059</v>
      </c>
      <c r="AN1450" s="32" t="s">
        <v>2060</v>
      </c>
      <c r="AO1450" s="38" t="s">
        <v>2061</v>
      </c>
      <c r="AP1450" s="35" t="s">
        <v>396</v>
      </c>
    </row>
    <row r="1451" spans="1:42" x14ac:dyDescent="0.2">
      <c r="A1451" s="40">
        <v>143</v>
      </c>
      <c r="B1451" s="40">
        <v>1450</v>
      </c>
      <c r="C1451" s="40" t="s">
        <v>39</v>
      </c>
      <c r="D1451" s="38" t="s">
        <v>38</v>
      </c>
      <c r="E1451" s="32" t="s">
        <v>2183</v>
      </c>
      <c r="F1451" s="32" t="s">
        <v>237</v>
      </c>
      <c r="G1451" s="38" t="s">
        <v>1923</v>
      </c>
      <c r="H1451" s="32" t="s">
        <v>151</v>
      </c>
      <c r="I1451" s="32" t="s">
        <v>61</v>
      </c>
      <c r="J1451" s="32" t="s">
        <v>2062</v>
      </c>
      <c r="K1451" s="32" t="s">
        <v>1513</v>
      </c>
      <c r="L1451" s="32" t="s">
        <v>30</v>
      </c>
      <c r="M1451" s="32" t="s">
        <v>30</v>
      </c>
      <c r="N1451" s="40">
        <v>2017</v>
      </c>
      <c r="O1451" s="32">
        <f>VLOOKUP(Data!N1229, CPI!$A$2:$B$112, 2, 0)</f>
        <v>218.05600000000001</v>
      </c>
      <c r="P1451" s="32" t="s">
        <v>238</v>
      </c>
      <c r="Q1451" s="32" t="s">
        <v>239</v>
      </c>
      <c r="R1451" s="32" t="s">
        <v>2063</v>
      </c>
      <c r="S1451" s="32">
        <v>32797000</v>
      </c>
      <c r="T1451" s="32" t="s">
        <v>1487</v>
      </c>
      <c r="U1451" s="32">
        <v>32797000</v>
      </c>
      <c r="V1451" s="32" t="s">
        <v>1487</v>
      </c>
      <c r="W1451" s="32">
        <f>VLOOKUP(N1451, 'Exchange rate- Vietnam'!$A$2:$B$65, 2, 0)</f>
        <v>22370.086666666699</v>
      </c>
      <c r="X1451" s="32">
        <f t="shared" ref="X1451:X1470" si="93">U1451/W1451</f>
        <v>1466.1096529800341</v>
      </c>
      <c r="Y1451" s="32">
        <f>(CPI!$B$112/O1451)*X1451</f>
        <v>2048.5082924275625</v>
      </c>
      <c r="Z1451" s="38" t="s">
        <v>1609</v>
      </c>
      <c r="AA1451" s="35" t="s">
        <v>1464</v>
      </c>
      <c r="AB1451" s="32" t="s">
        <v>30</v>
      </c>
      <c r="AH1451" s="32" t="s">
        <v>411</v>
      </c>
      <c r="AK1451" s="40" t="s">
        <v>2065</v>
      </c>
      <c r="AL1451" s="32">
        <v>2019</v>
      </c>
      <c r="AM1451" s="32" t="s">
        <v>2066</v>
      </c>
      <c r="AN1451" s="32" t="s">
        <v>2067</v>
      </c>
      <c r="AO1451" s="38" t="s">
        <v>2068</v>
      </c>
      <c r="AP1451" s="35" t="s">
        <v>396</v>
      </c>
    </row>
    <row r="1452" spans="1:42" x14ac:dyDescent="0.2">
      <c r="A1452" s="40">
        <v>143</v>
      </c>
      <c r="B1452" s="40">
        <v>1451</v>
      </c>
      <c r="C1452" s="40" t="s">
        <v>39</v>
      </c>
      <c r="D1452" s="38" t="s">
        <v>38</v>
      </c>
      <c r="E1452" s="32" t="s">
        <v>2183</v>
      </c>
      <c r="F1452" s="32" t="s">
        <v>237</v>
      </c>
      <c r="G1452" s="38" t="s">
        <v>1923</v>
      </c>
      <c r="H1452" s="32" t="s">
        <v>151</v>
      </c>
      <c r="I1452" s="32" t="s">
        <v>61</v>
      </c>
      <c r="J1452" s="32" t="s">
        <v>2062</v>
      </c>
      <c r="K1452" s="32" t="s">
        <v>1513</v>
      </c>
      <c r="L1452" s="32" t="s">
        <v>30</v>
      </c>
      <c r="M1452" s="32" t="s">
        <v>30</v>
      </c>
      <c r="N1452" s="40">
        <v>2017</v>
      </c>
      <c r="O1452" s="32">
        <f>VLOOKUP(Data!N1230, CPI!$A$2:$B$112, 2, 0)</f>
        <v>218.05600000000001</v>
      </c>
      <c r="P1452" s="32" t="s">
        <v>238</v>
      </c>
      <c r="Q1452" s="32" t="s">
        <v>239</v>
      </c>
      <c r="R1452" s="32" t="s">
        <v>2064</v>
      </c>
      <c r="S1452" s="32">
        <v>20592000</v>
      </c>
      <c r="T1452" s="32" t="s">
        <v>1487</v>
      </c>
      <c r="U1452" s="32">
        <v>20592000</v>
      </c>
      <c r="V1452" s="32" t="s">
        <v>1487</v>
      </c>
      <c r="W1452" s="32">
        <f>VLOOKUP(N1452, 'Exchange rate- Vietnam'!$A$2:$B$65, 2, 0)</f>
        <v>22370.086666666699</v>
      </c>
      <c r="X1452" s="32">
        <f t="shared" si="93"/>
        <v>920.51498533905112</v>
      </c>
      <c r="Y1452" s="32">
        <f>(CPI!$B$112/O1452)*X1452</f>
        <v>1286.1811372280504</v>
      </c>
      <c r="Z1452" s="38" t="s">
        <v>1609</v>
      </c>
      <c r="AA1452" s="35" t="s">
        <v>1464</v>
      </c>
      <c r="AB1452" s="32" t="s">
        <v>30</v>
      </c>
      <c r="AH1452" s="32" t="s">
        <v>411</v>
      </c>
      <c r="AK1452" s="40" t="s">
        <v>2065</v>
      </c>
      <c r="AL1452" s="32">
        <v>2019</v>
      </c>
      <c r="AM1452" s="32" t="s">
        <v>2066</v>
      </c>
      <c r="AN1452" s="32" t="s">
        <v>2067</v>
      </c>
      <c r="AO1452" s="38" t="s">
        <v>2068</v>
      </c>
      <c r="AP1452" s="35" t="s">
        <v>396</v>
      </c>
    </row>
    <row r="1453" spans="1:42" x14ac:dyDescent="0.2">
      <c r="A1453" s="40">
        <v>144</v>
      </c>
      <c r="B1453" s="40">
        <v>1452</v>
      </c>
      <c r="C1453" s="40" t="s">
        <v>119</v>
      </c>
      <c r="D1453" s="38" t="s">
        <v>128</v>
      </c>
      <c r="E1453" s="32" t="s">
        <v>2186</v>
      </c>
      <c r="F1453" s="32" t="s">
        <v>29</v>
      </c>
      <c r="G1453" s="38" t="s">
        <v>29</v>
      </c>
      <c r="H1453" s="32" t="s">
        <v>242</v>
      </c>
      <c r="I1453" s="32" t="s">
        <v>120</v>
      </c>
      <c r="J1453" s="32" t="s">
        <v>2069</v>
      </c>
      <c r="K1453" s="32" t="s">
        <v>1513</v>
      </c>
      <c r="L1453" s="32" t="s">
        <v>30</v>
      </c>
      <c r="M1453" s="32" t="s">
        <v>30</v>
      </c>
      <c r="N1453" s="40">
        <v>2013</v>
      </c>
      <c r="O1453" s="32">
        <f>VLOOKUP(Data!N1231, CPI!$A$2:$B$112, 2, 0)</f>
        <v>218.05600000000001</v>
      </c>
      <c r="P1453" s="32" t="s">
        <v>56</v>
      </c>
      <c r="Q1453" s="32" t="s">
        <v>239</v>
      </c>
      <c r="R1453" s="32" t="s">
        <v>2772</v>
      </c>
      <c r="S1453" s="32">
        <v>58219050000</v>
      </c>
      <c r="T1453" s="32" t="s">
        <v>1385</v>
      </c>
      <c r="U1453" s="32">
        <f t="shared" ref="U1453:U1468" si="94">S1453/AB1453</f>
        <v>250944.18103448275</v>
      </c>
      <c r="V1453" s="32" t="s">
        <v>1487</v>
      </c>
      <c r="W1453" s="32">
        <f>VLOOKUP(N1453, 'Exchange rate- Vietnam'!$A$2:$B$65, 2, 0)</f>
        <v>20933.416666666701</v>
      </c>
      <c r="X1453" s="32">
        <f t="shared" si="93"/>
        <v>11.987731626919432</v>
      </c>
      <c r="Y1453" s="32">
        <f>(CPI!$B$112/O1453)*X1453</f>
        <v>16.749748284670108</v>
      </c>
      <c r="Z1453" s="38" t="s">
        <v>1609</v>
      </c>
      <c r="AA1453" s="35" t="s">
        <v>1445</v>
      </c>
      <c r="AB1453" s="32">
        <v>232000</v>
      </c>
      <c r="AC1453" s="32" t="s">
        <v>1706</v>
      </c>
      <c r="AH1453" s="32" t="s">
        <v>411</v>
      </c>
      <c r="AJ1453" s="35" t="s">
        <v>2278</v>
      </c>
      <c r="AK1453" s="40" t="s">
        <v>2773</v>
      </c>
      <c r="AL1453" s="32">
        <v>2021</v>
      </c>
      <c r="AM1453" s="32" t="s">
        <v>2774</v>
      </c>
      <c r="AN1453" s="32" t="s">
        <v>2775</v>
      </c>
      <c r="AO1453" s="38" t="s">
        <v>2776</v>
      </c>
      <c r="AP1453" s="35" t="s">
        <v>396</v>
      </c>
    </row>
    <row r="1454" spans="1:42" x14ac:dyDescent="0.2">
      <c r="A1454" s="40">
        <v>144</v>
      </c>
      <c r="B1454" s="40">
        <v>1453</v>
      </c>
      <c r="C1454" s="40" t="s">
        <v>119</v>
      </c>
      <c r="D1454" s="38" t="s">
        <v>128</v>
      </c>
      <c r="E1454" s="32" t="s">
        <v>2186</v>
      </c>
      <c r="F1454" s="32" t="s">
        <v>29</v>
      </c>
      <c r="G1454" s="38" t="s">
        <v>29</v>
      </c>
      <c r="H1454" s="32" t="s">
        <v>242</v>
      </c>
      <c r="I1454" s="32" t="s">
        <v>120</v>
      </c>
      <c r="J1454" s="32" t="s">
        <v>2069</v>
      </c>
      <c r="K1454" s="32" t="s">
        <v>1513</v>
      </c>
      <c r="L1454" s="32" t="s">
        <v>30</v>
      </c>
      <c r="M1454" s="32" t="s">
        <v>30</v>
      </c>
      <c r="N1454" s="40">
        <v>2014</v>
      </c>
      <c r="O1454" s="32">
        <f>VLOOKUP(Data!N1232, CPI!$A$2:$B$112, 2, 0)</f>
        <v>218.05600000000001</v>
      </c>
      <c r="P1454" s="32" t="s">
        <v>56</v>
      </c>
      <c r="Q1454" s="32" t="s">
        <v>239</v>
      </c>
      <c r="R1454" s="32" t="s">
        <v>2772</v>
      </c>
      <c r="S1454" s="32">
        <v>55856590000</v>
      </c>
      <c r="T1454" s="32" t="s">
        <v>1385</v>
      </c>
      <c r="U1454" s="32">
        <f t="shared" si="94"/>
        <v>240761.16379310345</v>
      </c>
      <c r="V1454" s="32" t="s">
        <v>1487</v>
      </c>
      <c r="W1454" s="32">
        <f>VLOOKUP(N1454, 'Exchange rate- Vietnam'!$A$2:$B$65, 2, 0)</f>
        <v>21148</v>
      </c>
      <c r="X1454" s="32">
        <f t="shared" si="93"/>
        <v>11.384583118644953</v>
      </c>
      <c r="Y1454" s="32">
        <f>(CPI!$B$112/O1454)*X1454</f>
        <v>15.907004552470966</v>
      </c>
      <c r="Z1454" s="38" t="s">
        <v>1609</v>
      </c>
      <c r="AA1454" s="35" t="s">
        <v>1445</v>
      </c>
      <c r="AB1454" s="32">
        <v>232000</v>
      </c>
      <c r="AC1454" s="32" t="s">
        <v>1706</v>
      </c>
      <c r="AH1454" s="32" t="s">
        <v>411</v>
      </c>
      <c r="AJ1454" s="35" t="s">
        <v>2278</v>
      </c>
      <c r="AK1454" s="40" t="s">
        <v>2773</v>
      </c>
      <c r="AL1454" s="32">
        <v>2021</v>
      </c>
      <c r="AM1454" s="32" t="s">
        <v>2774</v>
      </c>
      <c r="AN1454" s="32" t="s">
        <v>2775</v>
      </c>
      <c r="AO1454" s="38" t="s">
        <v>2776</v>
      </c>
      <c r="AP1454" s="35" t="s">
        <v>396</v>
      </c>
    </row>
    <row r="1455" spans="1:42" x14ac:dyDescent="0.2">
      <c r="A1455" s="40">
        <v>144</v>
      </c>
      <c r="B1455" s="40">
        <v>1454</v>
      </c>
      <c r="C1455" s="40" t="s">
        <v>119</v>
      </c>
      <c r="D1455" s="38" t="s">
        <v>128</v>
      </c>
      <c r="E1455" s="32" t="s">
        <v>2186</v>
      </c>
      <c r="F1455" s="32" t="s">
        <v>29</v>
      </c>
      <c r="G1455" s="38" t="s">
        <v>29</v>
      </c>
      <c r="H1455" s="32" t="s">
        <v>242</v>
      </c>
      <c r="I1455" s="32" t="s">
        <v>120</v>
      </c>
      <c r="J1455" s="32" t="s">
        <v>2069</v>
      </c>
      <c r="K1455" s="32" t="s">
        <v>1513</v>
      </c>
      <c r="L1455" s="32" t="s">
        <v>30</v>
      </c>
      <c r="M1455" s="32" t="s">
        <v>30</v>
      </c>
      <c r="N1455" s="40">
        <v>2015</v>
      </c>
      <c r="O1455" s="32">
        <f>VLOOKUP(Data!N1233, CPI!$A$2:$B$112, 2, 0)</f>
        <v>218.05600000000001</v>
      </c>
      <c r="P1455" s="32" t="s">
        <v>56</v>
      </c>
      <c r="Q1455" s="32" t="s">
        <v>239</v>
      </c>
      <c r="R1455" s="32" t="s">
        <v>2772</v>
      </c>
      <c r="S1455" s="32">
        <v>47138750000</v>
      </c>
      <c r="T1455" s="32" t="s">
        <v>1385</v>
      </c>
      <c r="U1455" s="32">
        <f t="shared" si="94"/>
        <v>203184.2672413793</v>
      </c>
      <c r="V1455" s="32" t="s">
        <v>1487</v>
      </c>
      <c r="W1455" s="32">
        <f>VLOOKUP(N1455, 'Exchange rate- Vietnam'!$A$2:$B$65, 2, 0)</f>
        <v>21697.567500000001</v>
      </c>
      <c r="X1455" s="32">
        <f t="shared" si="93"/>
        <v>9.3643800044119825</v>
      </c>
      <c r="Y1455" s="32">
        <f>(CPI!$B$112/O1455)*X1455</f>
        <v>13.084294243264248</v>
      </c>
      <c r="Z1455" s="38" t="s">
        <v>1609</v>
      </c>
      <c r="AA1455" s="35" t="s">
        <v>1445</v>
      </c>
      <c r="AB1455" s="32">
        <v>232000</v>
      </c>
      <c r="AC1455" s="32" t="s">
        <v>1706</v>
      </c>
      <c r="AH1455" s="32" t="s">
        <v>411</v>
      </c>
      <c r="AJ1455" s="35" t="s">
        <v>2278</v>
      </c>
      <c r="AK1455" s="40" t="s">
        <v>2773</v>
      </c>
      <c r="AL1455" s="32">
        <v>2021</v>
      </c>
      <c r="AM1455" s="32" t="s">
        <v>2774</v>
      </c>
      <c r="AN1455" s="32" t="s">
        <v>2775</v>
      </c>
      <c r="AO1455" s="38" t="s">
        <v>2776</v>
      </c>
      <c r="AP1455" s="35" t="s">
        <v>396</v>
      </c>
    </row>
    <row r="1456" spans="1:42" x14ac:dyDescent="0.2">
      <c r="A1456" s="40">
        <v>144</v>
      </c>
      <c r="B1456" s="40">
        <v>1455</v>
      </c>
      <c r="C1456" s="40" t="s">
        <v>119</v>
      </c>
      <c r="D1456" s="38" t="s">
        <v>128</v>
      </c>
      <c r="E1456" s="32" t="s">
        <v>2186</v>
      </c>
      <c r="F1456" s="32" t="s">
        <v>29</v>
      </c>
      <c r="G1456" s="38" t="s">
        <v>29</v>
      </c>
      <c r="H1456" s="32" t="s">
        <v>242</v>
      </c>
      <c r="I1456" s="32" t="s">
        <v>120</v>
      </c>
      <c r="J1456" s="32" t="s">
        <v>2069</v>
      </c>
      <c r="K1456" s="32" t="s">
        <v>1513</v>
      </c>
      <c r="L1456" s="32" t="s">
        <v>30</v>
      </c>
      <c r="M1456" s="32" t="s">
        <v>30</v>
      </c>
      <c r="N1456" s="40">
        <v>2016</v>
      </c>
      <c r="O1456" s="32">
        <f>VLOOKUP(Data!N1234, CPI!$A$2:$B$112, 2, 0)</f>
        <v>218.05600000000001</v>
      </c>
      <c r="P1456" s="32" t="s">
        <v>56</v>
      </c>
      <c r="Q1456" s="32" t="s">
        <v>239</v>
      </c>
      <c r="R1456" s="32" t="s">
        <v>2772</v>
      </c>
      <c r="S1456" s="32">
        <v>49642460000</v>
      </c>
      <c r="T1456" s="32" t="s">
        <v>1385</v>
      </c>
      <c r="U1456" s="32">
        <f t="shared" si="94"/>
        <v>213976.12068965516</v>
      </c>
      <c r="V1456" s="32" t="s">
        <v>1487</v>
      </c>
      <c r="W1456" s="32">
        <f>VLOOKUP(N1456, 'Exchange rate- Vietnam'!$A$2:$B$65, 2, 0)</f>
        <v>21935.000833333299</v>
      </c>
      <c r="X1456" s="32">
        <f t="shared" si="93"/>
        <v>9.7550085507399906</v>
      </c>
      <c r="Y1456" s="32">
        <f>(CPI!$B$112/O1456)*X1456</f>
        <v>13.630096403958939</v>
      </c>
      <c r="Z1456" s="38" t="s">
        <v>1609</v>
      </c>
      <c r="AA1456" s="35" t="s">
        <v>1445</v>
      </c>
      <c r="AB1456" s="32">
        <v>232000</v>
      </c>
      <c r="AC1456" s="32" t="s">
        <v>1706</v>
      </c>
      <c r="AH1456" s="32" t="s">
        <v>411</v>
      </c>
      <c r="AJ1456" s="35" t="s">
        <v>2278</v>
      </c>
      <c r="AK1456" s="40" t="s">
        <v>2773</v>
      </c>
      <c r="AL1456" s="32">
        <v>2021</v>
      </c>
      <c r="AM1456" s="32" t="s">
        <v>2774</v>
      </c>
      <c r="AN1456" s="32" t="s">
        <v>2775</v>
      </c>
      <c r="AO1456" s="38" t="s">
        <v>2776</v>
      </c>
      <c r="AP1456" s="35" t="s">
        <v>396</v>
      </c>
    </row>
    <row r="1457" spans="1:42" x14ac:dyDescent="0.2">
      <c r="A1457" s="40">
        <v>144</v>
      </c>
      <c r="B1457" s="40">
        <v>1456</v>
      </c>
      <c r="C1457" s="40" t="s">
        <v>119</v>
      </c>
      <c r="D1457" s="38" t="s">
        <v>128</v>
      </c>
      <c r="E1457" s="32" t="s">
        <v>2186</v>
      </c>
      <c r="F1457" s="32" t="s">
        <v>29</v>
      </c>
      <c r="G1457" s="38" t="s">
        <v>29</v>
      </c>
      <c r="H1457" s="32" t="s">
        <v>242</v>
      </c>
      <c r="I1457" s="32" t="s">
        <v>120</v>
      </c>
      <c r="J1457" s="32" t="s">
        <v>2069</v>
      </c>
      <c r="K1457" s="32" t="s">
        <v>1513</v>
      </c>
      <c r="L1457" s="32" t="s">
        <v>30</v>
      </c>
      <c r="M1457" s="32" t="s">
        <v>30</v>
      </c>
      <c r="N1457" s="40">
        <v>2017</v>
      </c>
      <c r="O1457" s="32">
        <f>VLOOKUP(Data!N1235, CPI!$A$2:$B$112, 2, 0)</f>
        <v>218.05600000000001</v>
      </c>
      <c r="P1457" s="32" t="s">
        <v>56</v>
      </c>
      <c r="Q1457" s="32" t="s">
        <v>239</v>
      </c>
      <c r="R1457" s="32" t="s">
        <v>2772</v>
      </c>
      <c r="S1457" s="32">
        <v>61847440000</v>
      </c>
      <c r="T1457" s="32" t="s">
        <v>1385</v>
      </c>
      <c r="U1457" s="32">
        <f t="shared" si="94"/>
        <v>266583.79310344829</v>
      </c>
      <c r="V1457" s="32" t="s">
        <v>1487</v>
      </c>
      <c r="W1457" s="32">
        <f>VLOOKUP(N1457, 'Exchange rate- Vietnam'!$A$2:$B$65, 2, 0)</f>
        <v>22370.086666666699</v>
      </c>
      <c r="X1457" s="32">
        <f t="shared" si="93"/>
        <v>11.916976320913429</v>
      </c>
      <c r="Y1457" s="32">
        <f>(CPI!$B$112/O1457)*X1457</f>
        <v>16.650886081019834</v>
      </c>
      <c r="Z1457" s="38" t="s">
        <v>1609</v>
      </c>
      <c r="AA1457" s="35" t="s">
        <v>1445</v>
      </c>
      <c r="AB1457" s="32">
        <v>232000</v>
      </c>
      <c r="AC1457" s="32" t="s">
        <v>1706</v>
      </c>
      <c r="AH1457" s="32" t="s">
        <v>411</v>
      </c>
      <c r="AJ1457" s="35" t="s">
        <v>2278</v>
      </c>
      <c r="AK1457" s="40" t="s">
        <v>2773</v>
      </c>
      <c r="AL1457" s="32">
        <v>2021</v>
      </c>
      <c r="AM1457" s="32" t="s">
        <v>2774</v>
      </c>
      <c r="AN1457" s="32" t="s">
        <v>2775</v>
      </c>
      <c r="AO1457" s="38" t="s">
        <v>2776</v>
      </c>
      <c r="AP1457" s="35" t="s">
        <v>396</v>
      </c>
    </row>
    <row r="1458" spans="1:42" x14ac:dyDescent="0.2">
      <c r="A1458" s="40">
        <v>144</v>
      </c>
      <c r="B1458" s="40">
        <v>1457</v>
      </c>
      <c r="C1458" s="40" t="s">
        <v>119</v>
      </c>
      <c r="D1458" s="38" t="s">
        <v>128</v>
      </c>
      <c r="E1458" s="32" t="s">
        <v>2186</v>
      </c>
      <c r="F1458" s="32" t="s">
        <v>29</v>
      </c>
      <c r="G1458" s="38" t="s">
        <v>29</v>
      </c>
      <c r="H1458" s="32" t="s">
        <v>242</v>
      </c>
      <c r="I1458" s="32" t="s">
        <v>120</v>
      </c>
      <c r="J1458" s="32" t="s">
        <v>2069</v>
      </c>
      <c r="K1458" s="32" t="s">
        <v>1513</v>
      </c>
      <c r="L1458" s="32" t="s">
        <v>30</v>
      </c>
      <c r="M1458" s="32" t="s">
        <v>30</v>
      </c>
      <c r="N1458" s="40">
        <v>2018</v>
      </c>
      <c r="O1458" s="32">
        <f>VLOOKUP(Data!N1236, CPI!$A$2:$B$112, 2, 0)</f>
        <v>218.05600000000001</v>
      </c>
      <c r="P1458" s="32" t="s">
        <v>56</v>
      </c>
      <c r="Q1458" s="32" t="s">
        <v>239</v>
      </c>
      <c r="R1458" s="32" t="s">
        <v>2772</v>
      </c>
      <c r="S1458" s="32">
        <v>84071020000</v>
      </c>
      <c r="T1458" s="32" t="s">
        <v>1385</v>
      </c>
      <c r="U1458" s="32">
        <f t="shared" si="94"/>
        <v>362375.08620689658</v>
      </c>
      <c r="V1458" s="32" t="s">
        <v>1487</v>
      </c>
      <c r="W1458" s="32">
        <f>VLOOKUP(N1458, 'Exchange rate- Vietnam'!$A$2:$B$65, 2, 0)</f>
        <v>22602.05</v>
      </c>
      <c r="X1458" s="32">
        <f t="shared" si="93"/>
        <v>16.032841543439492</v>
      </c>
      <c r="Y1458" s="32">
        <f>(CPI!$B$112/O1458)*X1458</f>
        <v>22.40174108816143</v>
      </c>
      <c r="Z1458" s="38" t="s">
        <v>1609</v>
      </c>
      <c r="AA1458" s="35" t="s">
        <v>1445</v>
      </c>
      <c r="AB1458" s="32">
        <v>232000</v>
      </c>
      <c r="AC1458" s="32" t="s">
        <v>1706</v>
      </c>
      <c r="AH1458" s="32" t="s">
        <v>411</v>
      </c>
      <c r="AJ1458" s="35" t="s">
        <v>2278</v>
      </c>
      <c r="AK1458" s="40" t="s">
        <v>2773</v>
      </c>
      <c r="AL1458" s="32">
        <v>2021</v>
      </c>
      <c r="AM1458" s="32" t="s">
        <v>2774</v>
      </c>
      <c r="AN1458" s="32" t="s">
        <v>2775</v>
      </c>
      <c r="AO1458" s="38" t="s">
        <v>2776</v>
      </c>
      <c r="AP1458" s="35" t="s">
        <v>396</v>
      </c>
    </row>
    <row r="1459" spans="1:42" x14ac:dyDescent="0.2">
      <c r="A1459" s="40">
        <v>144</v>
      </c>
      <c r="B1459" s="40">
        <v>1458</v>
      </c>
      <c r="C1459" s="40" t="s">
        <v>119</v>
      </c>
      <c r="D1459" s="38" t="s">
        <v>128</v>
      </c>
      <c r="E1459" s="32" t="s">
        <v>2186</v>
      </c>
      <c r="F1459" s="32" t="s">
        <v>29</v>
      </c>
      <c r="G1459" s="38" t="s">
        <v>29</v>
      </c>
      <c r="H1459" s="32" t="s">
        <v>242</v>
      </c>
      <c r="I1459" s="32" t="s">
        <v>243</v>
      </c>
      <c r="J1459" s="32" t="s">
        <v>2070</v>
      </c>
      <c r="K1459" s="32" t="s">
        <v>1513</v>
      </c>
      <c r="L1459" s="32" t="s">
        <v>30</v>
      </c>
      <c r="M1459" s="32" t="s">
        <v>30</v>
      </c>
      <c r="N1459" s="40">
        <v>2018</v>
      </c>
      <c r="O1459" s="32">
        <f>VLOOKUP(Data!N1237, CPI!$A$2:$B$112, 2, 0)</f>
        <v>218.05600000000001</v>
      </c>
      <c r="P1459" s="32" t="s">
        <v>56</v>
      </c>
      <c r="Q1459" s="32" t="s">
        <v>239</v>
      </c>
      <c r="R1459" s="32" t="s">
        <v>2078</v>
      </c>
      <c r="S1459" s="32">
        <v>207900000</v>
      </c>
      <c r="T1459" s="32" t="s">
        <v>1385</v>
      </c>
      <c r="U1459" s="32">
        <f t="shared" si="94"/>
        <v>270000</v>
      </c>
      <c r="V1459" s="32" t="s">
        <v>1487</v>
      </c>
      <c r="W1459" s="32">
        <f>VLOOKUP(N1459, 'Exchange rate- Vietnam'!$A$2:$B$65, 2, 0)</f>
        <v>22602.05</v>
      </c>
      <c r="X1459" s="32">
        <f t="shared" si="93"/>
        <v>11.94581907393356</v>
      </c>
      <c r="Y1459" s="32">
        <f>(CPI!$B$112/O1459)*X1459</f>
        <v>16.691186353661845</v>
      </c>
      <c r="Z1459" s="38" t="s">
        <v>1609</v>
      </c>
      <c r="AA1459" s="35" t="s">
        <v>1446</v>
      </c>
      <c r="AB1459" s="32">
        <v>770</v>
      </c>
      <c r="AC1459" s="32" t="s">
        <v>1446</v>
      </c>
      <c r="AH1459" s="32" t="s">
        <v>411</v>
      </c>
      <c r="AJ1459" s="35" t="s">
        <v>2278</v>
      </c>
      <c r="AK1459" s="40" t="s">
        <v>2773</v>
      </c>
      <c r="AL1459" s="32">
        <v>2021</v>
      </c>
      <c r="AM1459" s="32" t="s">
        <v>2774</v>
      </c>
      <c r="AN1459" s="32" t="s">
        <v>2775</v>
      </c>
      <c r="AO1459" s="38" t="s">
        <v>2776</v>
      </c>
      <c r="AP1459" s="35" t="s">
        <v>396</v>
      </c>
    </row>
    <row r="1460" spans="1:42" x14ac:dyDescent="0.2">
      <c r="A1460" s="40">
        <v>144</v>
      </c>
      <c r="B1460" s="40">
        <v>1459</v>
      </c>
      <c r="C1460" s="40" t="s">
        <v>119</v>
      </c>
      <c r="D1460" s="38" t="s">
        <v>128</v>
      </c>
      <c r="E1460" s="32" t="s">
        <v>2186</v>
      </c>
      <c r="F1460" s="32" t="s">
        <v>29</v>
      </c>
      <c r="G1460" s="38" t="s">
        <v>29</v>
      </c>
      <c r="H1460" s="32" t="s">
        <v>242</v>
      </c>
      <c r="I1460" s="32" t="s">
        <v>243</v>
      </c>
      <c r="J1460" s="32" t="s">
        <v>2071</v>
      </c>
      <c r="K1460" s="32" t="s">
        <v>1513</v>
      </c>
      <c r="L1460" s="32" t="s">
        <v>30</v>
      </c>
      <c r="M1460" s="32" t="s">
        <v>30</v>
      </c>
      <c r="N1460" s="40">
        <v>2018</v>
      </c>
      <c r="O1460" s="32">
        <f>VLOOKUP(Data!N1238, CPI!$A$2:$B$112, 2, 0)</f>
        <v>218.05600000000001</v>
      </c>
      <c r="P1460" s="32" t="s">
        <v>56</v>
      </c>
      <c r="Q1460" s="32" t="s">
        <v>239</v>
      </c>
      <c r="R1460" s="32" t="s">
        <v>2078</v>
      </c>
      <c r="S1460" s="32">
        <v>238950000</v>
      </c>
      <c r="T1460" s="32" t="s">
        <v>1385</v>
      </c>
      <c r="U1460" s="32">
        <f t="shared" si="94"/>
        <v>270000</v>
      </c>
      <c r="V1460" s="32" t="s">
        <v>1487</v>
      </c>
      <c r="W1460" s="32">
        <f>VLOOKUP(N1460, 'Exchange rate- Vietnam'!$A$2:$B$65, 2, 0)</f>
        <v>22602.05</v>
      </c>
      <c r="X1460" s="32">
        <f t="shared" si="93"/>
        <v>11.94581907393356</v>
      </c>
      <c r="Y1460" s="32">
        <f>(CPI!$B$112/O1460)*X1460</f>
        <v>16.691186353661845</v>
      </c>
      <c r="Z1460" s="38" t="s">
        <v>1609</v>
      </c>
      <c r="AA1460" s="35" t="s">
        <v>1446</v>
      </c>
      <c r="AB1460" s="32">
        <v>885</v>
      </c>
      <c r="AC1460" s="32" t="s">
        <v>1446</v>
      </c>
      <c r="AH1460" s="32" t="s">
        <v>411</v>
      </c>
      <c r="AJ1460" s="35" t="s">
        <v>2278</v>
      </c>
      <c r="AK1460" s="40" t="s">
        <v>2773</v>
      </c>
      <c r="AL1460" s="32">
        <v>2021</v>
      </c>
      <c r="AM1460" s="32" t="s">
        <v>2774</v>
      </c>
      <c r="AN1460" s="32" t="s">
        <v>2775</v>
      </c>
      <c r="AO1460" s="38" t="s">
        <v>2776</v>
      </c>
      <c r="AP1460" s="35" t="s">
        <v>396</v>
      </c>
    </row>
    <row r="1461" spans="1:42" x14ac:dyDescent="0.2">
      <c r="A1461" s="40">
        <v>144</v>
      </c>
      <c r="B1461" s="40">
        <v>1460</v>
      </c>
      <c r="C1461" s="40" t="s">
        <v>119</v>
      </c>
      <c r="D1461" s="38" t="s">
        <v>128</v>
      </c>
      <c r="E1461" s="32" t="s">
        <v>2186</v>
      </c>
      <c r="F1461" s="32" t="s">
        <v>29</v>
      </c>
      <c r="G1461" s="38" t="s">
        <v>29</v>
      </c>
      <c r="H1461" s="32" t="s">
        <v>242</v>
      </c>
      <c r="I1461" s="32" t="s">
        <v>243</v>
      </c>
      <c r="J1461" s="32" t="s">
        <v>2072</v>
      </c>
      <c r="K1461" s="32" t="s">
        <v>1513</v>
      </c>
      <c r="L1461" s="32" t="s">
        <v>30</v>
      </c>
      <c r="M1461" s="32" t="s">
        <v>30</v>
      </c>
      <c r="N1461" s="40">
        <v>2018</v>
      </c>
      <c r="O1461" s="32">
        <f>VLOOKUP(Data!N1239, CPI!$A$2:$B$112, 2, 0)</f>
        <v>218.05600000000001</v>
      </c>
      <c r="P1461" s="32" t="s">
        <v>56</v>
      </c>
      <c r="Q1461" s="32" t="s">
        <v>239</v>
      </c>
      <c r="R1461" s="32" t="s">
        <v>2078</v>
      </c>
      <c r="S1461" s="32">
        <v>123210000</v>
      </c>
      <c r="T1461" s="32" t="s">
        <v>1385</v>
      </c>
      <c r="U1461" s="32">
        <f t="shared" si="94"/>
        <v>287202.7972027972</v>
      </c>
      <c r="V1461" s="32" t="s">
        <v>1487</v>
      </c>
      <c r="W1461" s="32">
        <f>VLOOKUP(N1461, 'Exchange rate- Vietnam'!$A$2:$B$65, 2, 0)</f>
        <v>22602.05</v>
      </c>
      <c r="X1461" s="32">
        <f t="shared" si="93"/>
        <v>12.70693575152684</v>
      </c>
      <c r="Y1461" s="32">
        <f>(CPI!$B$112/O1461)*X1461</f>
        <v>17.754649664462367</v>
      </c>
      <c r="Z1461" s="38" t="s">
        <v>1609</v>
      </c>
      <c r="AA1461" s="35" t="s">
        <v>1446</v>
      </c>
      <c r="AB1461" s="32">
        <v>429</v>
      </c>
      <c r="AC1461" s="32" t="s">
        <v>1446</v>
      </c>
      <c r="AH1461" s="32" t="s">
        <v>411</v>
      </c>
      <c r="AJ1461" s="35" t="s">
        <v>2278</v>
      </c>
      <c r="AK1461" s="40" t="s">
        <v>2773</v>
      </c>
      <c r="AL1461" s="32">
        <v>2021</v>
      </c>
      <c r="AM1461" s="32" t="s">
        <v>2774</v>
      </c>
      <c r="AN1461" s="32" t="s">
        <v>2775</v>
      </c>
      <c r="AO1461" s="38" t="s">
        <v>2776</v>
      </c>
      <c r="AP1461" s="35" t="s">
        <v>396</v>
      </c>
    </row>
    <row r="1462" spans="1:42" x14ac:dyDescent="0.2">
      <c r="A1462" s="40">
        <v>144</v>
      </c>
      <c r="B1462" s="40">
        <v>1461</v>
      </c>
      <c r="C1462" s="40" t="s">
        <v>119</v>
      </c>
      <c r="D1462" s="38" t="s">
        <v>128</v>
      </c>
      <c r="E1462" s="32" t="s">
        <v>2186</v>
      </c>
      <c r="F1462" s="32" t="s">
        <v>29</v>
      </c>
      <c r="G1462" s="38" t="s">
        <v>29</v>
      </c>
      <c r="H1462" s="32" t="s">
        <v>242</v>
      </c>
      <c r="I1462" s="32" t="s">
        <v>243</v>
      </c>
      <c r="J1462" s="32" t="s">
        <v>2073</v>
      </c>
      <c r="K1462" s="32" t="s">
        <v>1513</v>
      </c>
      <c r="L1462" s="32" t="s">
        <v>30</v>
      </c>
      <c r="M1462" s="32" t="s">
        <v>30</v>
      </c>
      <c r="N1462" s="40">
        <v>2018</v>
      </c>
      <c r="O1462" s="32">
        <f>VLOOKUP(Data!N1240, CPI!$A$2:$B$112, 2, 0)</f>
        <v>218.05600000000001</v>
      </c>
      <c r="P1462" s="32" t="s">
        <v>56</v>
      </c>
      <c r="Q1462" s="32" t="s">
        <v>239</v>
      </c>
      <c r="R1462" s="32" t="s">
        <v>2078</v>
      </c>
      <c r="S1462" s="32">
        <v>222750000</v>
      </c>
      <c r="T1462" s="32" t="s">
        <v>1385</v>
      </c>
      <c r="U1462" s="32">
        <f t="shared" si="94"/>
        <v>270000</v>
      </c>
      <c r="V1462" s="32" t="s">
        <v>1487</v>
      </c>
      <c r="W1462" s="32">
        <f>VLOOKUP(N1462, 'Exchange rate- Vietnam'!$A$2:$B$65, 2, 0)</f>
        <v>22602.05</v>
      </c>
      <c r="X1462" s="32">
        <f t="shared" si="93"/>
        <v>11.94581907393356</v>
      </c>
      <c r="Y1462" s="32">
        <f>(CPI!$B$112/O1462)*X1462</f>
        <v>16.691186353661845</v>
      </c>
      <c r="Z1462" s="38" t="s">
        <v>1609</v>
      </c>
      <c r="AA1462" s="35" t="s">
        <v>1446</v>
      </c>
      <c r="AB1462" s="32">
        <v>825</v>
      </c>
      <c r="AC1462" s="32" t="s">
        <v>1446</v>
      </c>
      <c r="AH1462" s="32" t="s">
        <v>411</v>
      </c>
      <c r="AJ1462" s="35" t="s">
        <v>2278</v>
      </c>
      <c r="AK1462" s="40" t="s">
        <v>2773</v>
      </c>
      <c r="AL1462" s="32">
        <v>2021</v>
      </c>
      <c r="AM1462" s="32" t="s">
        <v>2774</v>
      </c>
      <c r="AN1462" s="32" t="s">
        <v>2775</v>
      </c>
      <c r="AO1462" s="38" t="s">
        <v>2776</v>
      </c>
      <c r="AP1462" s="35" t="s">
        <v>396</v>
      </c>
    </row>
    <row r="1463" spans="1:42" x14ac:dyDescent="0.2">
      <c r="A1463" s="40">
        <v>144</v>
      </c>
      <c r="B1463" s="40">
        <v>1462</v>
      </c>
      <c r="C1463" s="40" t="s">
        <v>119</v>
      </c>
      <c r="D1463" s="38" t="s">
        <v>128</v>
      </c>
      <c r="E1463" s="32" t="s">
        <v>2186</v>
      </c>
      <c r="F1463" s="32" t="s">
        <v>29</v>
      </c>
      <c r="G1463" s="38" t="s">
        <v>29</v>
      </c>
      <c r="H1463" s="32" t="s">
        <v>242</v>
      </c>
      <c r="I1463" s="32" t="s">
        <v>243</v>
      </c>
      <c r="J1463" s="32" t="s">
        <v>2074</v>
      </c>
      <c r="K1463" s="32" t="s">
        <v>1513</v>
      </c>
      <c r="L1463" s="32" t="s">
        <v>30</v>
      </c>
      <c r="M1463" s="32" t="s">
        <v>30</v>
      </c>
      <c r="N1463" s="40">
        <v>2018</v>
      </c>
      <c r="O1463" s="32">
        <f>VLOOKUP(Data!N1241, CPI!$A$2:$B$112, 2, 0)</f>
        <v>218.05600000000001</v>
      </c>
      <c r="P1463" s="32" t="s">
        <v>56</v>
      </c>
      <c r="Q1463" s="32" t="s">
        <v>239</v>
      </c>
      <c r="R1463" s="32" t="s">
        <v>2078</v>
      </c>
      <c r="S1463" s="32">
        <v>445500000</v>
      </c>
      <c r="T1463" s="32" t="s">
        <v>1385</v>
      </c>
      <c r="U1463" s="32">
        <f t="shared" si="94"/>
        <v>270000</v>
      </c>
      <c r="V1463" s="32" t="s">
        <v>1487</v>
      </c>
      <c r="W1463" s="32">
        <f>VLOOKUP(N1463, 'Exchange rate- Vietnam'!$A$2:$B$65, 2, 0)</f>
        <v>22602.05</v>
      </c>
      <c r="X1463" s="32">
        <f t="shared" si="93"/>
        <v>11.94581907393356</v>
      </c>
      <c r="Y1463" s="32">
        <f>(CPI!$B$112/O1463)*X1463</f>
        <v>16.691186353661845</v>
      </c>
      <c r="Z1463" s="38" t="s">
        <v>1609</v>
      </c>
      <c r="AA1463" s="35" t="s">
        <v>1446</v>
      </c>
      <c r="AB1463" s="32">
        <v>1650</v>
      </c>
      <c r="AC1463" s="32" t="s">
        <v>1446</v>
      </c>
      <c r="AH1463" s="32" t="s">
        <v>411</v>
      </c>
      <c r="AJ1463" s="35" t="s">
        <v>2278</v>
      </c>
      <c r="AK1463" s="40" t="s">
        <v>2773</v>
      </c>
      <c r="AL1463" s="32">
        <v>2021</v>
      </c>
      <c r="AM1463" s="32" t="s">
        <v>2774</v>
      </c>
      <c r="AN1463" s="32" t="s">
        <v>2775</v>
      </c>
      <c r="AO1463" s="38" t="s">
        <v>2776</v>
      </c>
      <c r="AP1463" s="35" t="s">
        <v>396</v>
      </c>
    </row>
    <row r="1464" spans="1:42" x14ac:dyDescent="0.2">
      <c r="A1464" s="40">
        <v>144</v>
      </c>
      <c r="B1464" s="40">
        <v>1463</v>
      </c>
      <c r="C1464" s="40" t="s">
        <v>119</v>
      </c>
      <c r="D1464" s="38" t="s">
        <v>128</v>
      </c>
      <c r="E1464" s="32" t="s">
        <v>2186</v>
      </c>
      <c r="F1464" s="32" t="s">
        <v>29</v>
      </c>
      <c r="G1464" s="38" t="s">
        <v>29</v>
      </c>
      <c r="H1464" s="32" t="s">
        <v>242</v>
      </c>
      <c r="I1464" s="32" t="s">
        <v>243</v>
      </c>
      <c r="J1464" s="32" t="s">
        <v>2075</v>
      </c>
      <c r="K1464" s="32" t="s">
        <v>1513</v>
      </c>
      <c r="L1464" s="32" t="s">
        <v>30</v>
      </c>
      <c r="M1464" s="32" t="s">
        <v>30</v>
      </c>
      <c r="N1464" s="40">
        <v>2018</v>
      </c>
      <c r="O1464" s="32">
        <f>VLOOKUP(Data!N1242, CPI!$A$2:$B$112, 2, 0)</f>
        <v>218.05600000000001</v>
      </c>
      <c r="P1464" s="32" t="s">
        <v>56</v>
      </c>
      <c r="Q1464" s="32" t="s">
        <v>239</v>
      </c>
      <c r="R1464" s="32" t="s">
        <v>2078</v>
      </c>
      <c r="S1464" s="32">
        <v>323300000</v>
      </c>
      <c r="T1464" s="32" t="s">
        <v>1385</v>
      </c>
      <c r="U1464" s="32">
        <f t="shared" si="94"/>
        <v>182346.30569655952</v>
      </c>
      <c r="V1464" s="32" t="s">
        <v>1487</v>
      </c>
      <c r="W1464" s="32">
        <f>VLOOKUP(N1464, 'Exchange rate- Vietnam'!$A$2:$B$65, 2, 0)</f>
        <v>22602.05</v>
      </c>
      <c r="X1464" s="32">
        <f t="shared" si="93"/>
        <v>8.0676888024121496</v>
      </c>
      <c r="Y1464" s="32">
        <f>(CPI!$B$112/O1464)*X1464</f>
        <v>11.272504330678018</v>
      </c>
      <c r="Z1464" s="38" t="s">
        <v>1609</v>
      </c>
      <c r="AA1464" s="35" t="s">
        <v>1446</v>
      </c>
      <c r="AB1464" s="32">
        <v>1773</v>
      </c>
      <c r="AC1464" s="32" t="s">
        <v>1446</v>
      </c>
      <c r="AH1464" s="32" t="s">
        <v>411</v>
      </c>
      <c r="AJ1464" s="35" t="s">
        <v>2278</v>
      </c>
      <c r="AK1464" s="40" t="s">
        <v>2773</v>
      </c>
      <c r="AL1464" s="32">
        <v>2021</v>
      </c>
      <c r="AM1464" s="32" t="s">
        <v>2774</v>
      </c>
      <c r="AN1464" s="32" t="s">
        <v>2775</v>
      </c>
      <c r="AO1464" s="38" t="s">
        <v>2776</v>
      </c>
      <c r="AP1464" s="35" t="s">
        <v>396</v>
      </c>
    </row>
    <row r="1465" spans="1:42" x14ac:dyDescent="0.2">
      <c r="A1465" s="40">
        <v>144</v>
      </c>
      <c r="B1465" s="40">
        <v>1464</v>
      </c>
      <c r="C1465" s="40" t="s">
        <v>119</v>
      </c>
      <c r="D1465" s="38" t="s">
        <v>128</v>
      </c>
      <c r="E1465" s="32" t="s">
        <v>2186</v>
      </c>
      <c r="F1465" s="32" t="s">
        <v>29</v>
      </c>
      <c r="G1465" s="38" t="s">
        <v>29</v>
      </c>
      <c r="H1465" s="32" t="s">
        <v>242</v>
      </c>
      <c r="I1465" s="32" t="s">
        <v>243</v>
      </c>
      <c r="J1465" s="32" t="s">
        <v>2076</v>
      </c>
      <c r="K1465" s="32" t="s">
        <v>1513</v>
      </c>
      <c r="L1465" s="32" t="s">
        <v>30</v>
      </c>
      <c r="M1465" s="32" t="s">
        <v>30</v>
      </c>
      <c r="N1465" s="40">
        <v>2018</v>
      </c>
      <c r="O1465" s="32">
        <f>VLOOKUP(Data!N1243, CPI!$A$2:$B$112, 2, 0)</f>
        <v>218.05600000000001</v>
      </c>
      <c r="P1465" s="32" t="s">
        <v>56</v>
      </c>
      <c r="Q1465" s="32" t="s">
        <v>239</v>
      </c>
      <c r="R1465" s="32" t="s">
        <v>2078</v>
      </c>
      <c r="S1465" s="32">
        <v>1650000000</v>
      </c>
      <c r="T1465" s="32" t="s">
        <v>1385</v>
      </c>
      <c r="U1465" s="32">
        <f t="shared" si="94"/>
        <v>1000000</v>
      </c>
      <c r="V1465" s="32" t="s">
        <v>1487</v>
      </c>
      <c r="W1465" s="32">
        <f>VLOOKUP(N1465, 'Exchange rate- Vietnam'!$A$2:$B$65, 2, 0)</f>
        <v>22602.05</v>
      </c>
      <c r="X1465" s="32">
        <f t="shared" si="93"/>
        <v>44.243774347902075</v>
      </c>
      <c r="Y1465" s="32">
        <f>(CPI!$B$112/O1465)*X1465</f>
        <v>61.819208717266086</v>
      </c>
      <c r="Z1465" s="38" t="s">
        <v>1609</v>
      </c>
      <c r="AA1465" s="35" t="s">
        <v>1446</v>
      </c>
      <c r="AB1465" s="32">
        <v>1650</v>
      </c>
      <c r="AC1465" s="32" t="s">
        <v>1446</v>
      </c>
      <c r="AH1465" s="32" t="s">
        <v>411</v>
      </c>
      <c r="AJ1465" s="35" t="s">
        <v>2278</v>
      </c>
      <c r="AK1465" s="40" t="s">
        <v>2773</v>
      </c>
      <c r="AL1465" s="32">
        <v>2021</v>
      </c>
      <c r="AM1465" s="32" t="s">
        <v>2774</v>
      </c>
      <c r="AN1465" s="32" t="s">
        <v>2775</v>
      </c>
      <c r="AO1465" s="38" t="s">
        <v>2776</v>
      </c>
      <c r="AP1465" s="35" t="s">
        <v>396</v>
      </c>
    </row>
    <row r="1466" spans="1:42" x14ac:dyDescent="0.2">
      <c r="A1466" s="40">
        <v>144</v>
      </c>
      <c r="B1466" s="40">
        <v>1465</v>
      </c>
      <c r="C1466" s="40" t="s">
        <v>119</v>
      </c>
      <c r="D1466" s="38" t="s">
        <v>128</v>
      </c>
      <c r="E1466" s="32" t="s">
        <v>2186</v>
      </c>
      <c r="F1466" s="32" t="s">
        <v>29</v>
      </c>
      <c r="G1466" s="38" t="s">
        <v>29</v>
      </c>
      <c r="H1466" s="32" t="s">
        <v>242</v>
      </c>
      <c r="I1466" s="32" t="s">
        <v>243</v>
      </c>
      <c r="J1466" s="32" t="s">
        <v>2077</v>
      </c>
      <c r="K1466" s="32" t="s">
        <v>1513</v>
      </c>
      <c r="L1466" s="32" t="s">
        <v>30</v>
      </c>
      <c r="M1466" s="32" t="s">
        <v>30</v>
      </c>
      <c r="N1466" s="40">
        <v>2018</v>
      </c>
      <c r="O1466" s="32">
        <f>VLOOKUP(Data!N1244, CPI!$A$2:$B$112, 2, 0)</f>
        <v>218.05600000000001</v>
      </c>
      <c r="P1466" s="32" t="s">
        <v>56</v>
      </c>
      <c r="Q1466" s="32" t="s">
        <v>239</v>
      </c>
      <c r="R1466" s="32" t="s">
        <v>2078</v>
      </c>
      <c r="S1466" s="32">
        <v>491400000</v>
      </c>
      <c r="T1466" s="32" t="s">
        <v>1385</v>
      </c>
      <c r="U1466" s="32">
        <f t="shared" si="94"/>
        <v>270000</v>
      </c>
      <c r="V1466" s="32" t="s">
        <v>1487</v>
      </c>
      <c r="W1466" s="32">
        <f>VLOOKUP(N1466, 'Exchange rate- Vietnam'!$A$2:$B$65, 2, 0)</f>
        <v>22602.05</v>
      </c>
      <c r="X1466" s="32">
        <f t="shared" si="93"/>
        <v>11.94581907393356</v>
      </c>
      <c r="Y1466" s="32">
        <f>(CPI!$B$112/O1466)*X1466</f>
        <v>16.691186353661845</v>
      </c>
      <c r="Z1466" s="38" t="s">
        <v>1609</v>
      </c>
      <c r="AA1466" s="35" t="s">
        <v>1446</v>
      </c>
      <c r="AB1466" s="32">
        <v>1820</v>
      </c>
      <c r="AC1466" s="32" t="s">
        <v>1446</v>
      </c>
      <c r="AH1466" s="32" t="s">
        <v>411</v>
      </c>
      <c r="AJ1466" s="35" t="s">
        <v>2278</v>
      </c>
      <c r="AK1466" s="40" t="s">
        <v>2773</v>
      </c>
      <c r="AL1466" s="32">
        <v>2021</v>
      </c>
      <c r="AM1466" s="32" t="s">
        <v>2774</v>
      </c>
      <c r="AN1466" s="32" t="s">
        <v>2775</v>
      </c>
      <c r="AO1466" s="38" t="s">
        <v>2776</v>
      </c>
      <c r="AP1466" s="35" t="s">
        <v>396</v>
      </c>
    </row>
    <row r="1467" spans="1:42" x14ac:dyDescent="0.2">
      <c r="A1467" s="40">
        <v>145</v>
      </c>
      <c r="B1467" s="40">
        <v>1466</v>
      </c>
      <c r="C1467" s="40" t="s">
        <v>39</v>
      </c>
      <c r="D1467" s="38" t="s">
        <v>38</v>
      </c>
      <c r="E1467" s="32" t="s">
        <v>2183</v>
      </c>
      <c r="F1467" s="32" t="s">
        <v>237</v>
      </c>
      <c r="G1467" s="38" t="s">
        <v>1923</v>
      </c>
      <c r="H1467" s="32" t="s">
        <v>151</v>
      </c>
      <c r="I1467" s="32" t="s">
        <v>61</v>
      </c>
      <c r="J1467" s="32" t="s">
        <v>2079</v>
      </c>
      <c r="K1467" s="32" t="s">
        <v>1513</v>
      </c>
      <c r="L1467" s="32" t="s">
        <v>30</v>
      </c>
      <c r="M1467" s="32" t="s">
        <v>30</v>
      </c>
      <c r="N1467" s="40">
        <v>2016</v>
      </c>
      <c r="O1467" s="32">
        <f>VLOOKUP(Data!N1245, CPI!$A$2:$B$112, 2, 0)</f>
        <v>245.12</v>
      </c>
      <c r="P1467" s="32" t="s">
        <v>238</v>
      </c>
      <c r="Q1467" s="32" t="s">
        <v>239</v>
      </c>
      <c r="R1467" s="32" t="s">
        <v>2080</v>
      </c>
      <c r="S1467" s="32">
        <v>4500000</v>
      </c>
      <c r="T1467" s="32" t="s">
        <v>1698</v>
      </c>
      <c r="U1467" s="32">
        <f t="shared" si="94"/>
        <v>432870.10941599199</v>
      </c>
      <c r="V1467" s="32" t="s">
        <v>1487</v>
      </c>
      <c r="W1467" s="32">
        <f>VLOOKUP(N1467, 'Exchange rate- Vietnam'!$A$2:$B$65, 2, 0)</f>
        <v>21935.000833333299</v>
      </c>
      <c r="X1467" s="32">
        <f t="shared" si="93"/>
        <v>19.734218963793491</v>
      </c>
      <c r="Y1467" s="32">
        <f>(CPI!$B$112/O1467)*X1467</f>
        <v>24.529037604752645</v>
      </c>
      <c r="Z1467" s="38" t="s">
        <v>1609</v>
      </c>
      <c r="AA1467" s="35" t="s">
        <v>1447</v>
      </c>
      <c r="AB1467" s="32">
        <f>164460.42/AE1467</f>
        <v>10.395728192161821</v>
      </c>
      <c r="AC1467" s="32" t="s">
        <v>2778</v>
      </c>
      <c r="AE1467" s="32">
        <v>15820</v>
      </c>
      <c r="AF1467" s="32" t="s">
        <v>1425</v>
      </c>
      <c r="AH1467" s="32" t="s">
        <v>411</v>
      </c>
      <c r="AK1467" s="40" t="s">
        <v>2084</v>
      </c>
      <c r="AL1467" s="32">
        <v>2017</v>
      </c>
      <c r="AM1467" s="32" t="s">
        <v>2085</v>
      </c>
      <c r="AN1467" s="32" t="s">
        <v>2086</v>
      </c>
      <c r="AO1467" s="38" t="s">
        <v>2087</v>
      </c>
      <c r="AP1467" s="35" t="s">
        <v>396</v>
      </c>
    </row>
    <row r="1468" spans="1:42" x14ac:dyDescent="0.2">
      <c r="A1468" s="40">
        <v>145</v>
      </c>
      <c r="B1468" s="40">
        <v>1467</v>
      </c>
      <c r="C1468" s="40" t="s">
        <v>39</v>
      </c>
      <c r="D1468" s="38" t="s">
        <v>26</v>
      </c>
      <c r="E1468" s="32" t="s">
        <v>2186</v>
      </c>
      <c r="F1468" s="32" t="s">
        <v>21</v>
      </c>
      <c r="G1468" s="38" t="s">
        <v>163</v>
      </c>
      <c r="H1468" s="32" t="s">
        <v>151</v>
      </c>
      <c r="I1468" s="32" t="s">
        <v>61</v>
      </c>
      <c r="J1468" s="32" t="s">
        <v>2079</v>
      </c>
      <c r="K1468" s="32" t="s">
        <v>1513</v>
      </c>
      <c r="L1468" s="32" t="s">
        <v>30</v>
      </c>
      <c r="M1468" s="32" t="s">
        <v>30</v>
      </c>
      <c r="N1468" s="40">
        <v>2016</v>
      </c>
      <c r="O1468" s="32">
        <f>VLOOKUP(Data!N1246, CPI!$A$2:$B$112, 2, 0)</f>
        <v>245.12</v>
      </c>
      <c r="P1468" s="32" t="s">
        <v>238</v>
      </c>
      <c r="Q1468" s="32" t="s">
        <v>239</v>
      </c>
      <c r="R1468" s="32" t="s">
        <v>2081</v>
      </c>
      <c r="S1468" s="32">
        <v>4850000</v>
      </c>
      <c r="T1468" s="32" t="s">
        <v>1698</v>
      </c>
      <c r="U1468" s="32">
        <f t="shared" si="94"/>
        <v>466537.78459279134</v>
      </c>
      <c r="V1468" s="32" t="s">
        <v>1487</v>
      </c>
      <c r="W1468" s="32">
        <f>VLOOKUP(N1468, 'Exchange rate- Vietnam'!$A$2:$B$65, 2, 0)</f>
        <v>21935.000833333299</v>
      </c>
      <c r="X1468" s="32">
        <f t="shared" si="93"/>
        <v>21.269102660977428</v>
      </c>
      <c r="Y1468" s="32">
        <f>(CPI!$B$112/O1468)*X1468</f>
        <v>26.436851640677851</v>
      </c>
      <c r="Z1468" s="38" t="s">
        <v>1609</v>
      </c>
      <c r="AA1468" s="35" t="s">
        <v>1447</v>
      </c>
      <c r="AB1468" s="32">
        <f>164460.42/AE1468</f>
        <v>10.395728192161821</v>
      </c>
      <c r="AC1468" s="32" t="s">
        <v>2778</v>
      </c>
      <c r="AE1468" s="32">
        <v>15820</v>
      </c>
      <c r="AF1468" s="32" t="s">
        <v>1425</v>
      </c>
      <c r="AH1468" s="32" t="s">
        <v>411</v>
      </c>
      <c r="AK1468" s="40" t="s">
        <v>2084</v>
      </c>
      <c r="AL1468" s="32">
        <v>2017</v>
      </c>
      <c r="AM1468" s="32" t="s">
        <v>2085</v>
      </c>
      <c r="AN1468" s="32" t="s">
        <v>2086</v>
      </c>
      <c r="AO1468" s="38" t="s">
        <v>2087</v>
      </c>
      <c r="AP1468" s="35" t="s">
        <v>396</v>
      </c>
    </row>
    <row r="1469" spans="1:42" x14ac:dyDescent="0.2">
      <c r="A1469" s="40">
        <v>145</v>
      </c>
      <c r="B1469" s="40">
        <v>1468</v>
      </c>
      <c r="C1469" s="40" t="s">
        <v>119</v>
      </c>
      <c r="D1469" s="38" t="s">
        <v>128</v>
      </c>
      <c r="E1469" s="32" t="s">
        <v>2186</v>
      </c>
      <c r="F1469" s="32" t="s">
        <v>29</v>
      </c>
      <c r="G1469" s="38" t="s">
        <v>29</v>
      </c>
      <c r="H1469" s="32" t="s">
        <v>242</v>
      </c>
      <c r="I1469" s="32" t="s">
        <v>61</v>
      </c>
      <c r="J1469" s="32" t="s">
        <v>2079</v>
      </c>
      <c r="K1469" s="32" t="s">
        <v>1513</v>
      </c>
      <c r="L1469" s="32" t="s">
        <v>30</v>
      </c>
      <c r="M1469" s="32" t="s">
        <v>30</v>
      </c>
      <c r="N1469" s="40">
        <v>2016</v>
      </c>
      <c r="O1469" s="32">
        <f>VLOOKUP(Data!N1247, CPI!$A$2:$B$112, 2, 0)</f>
        <v>245.12</v>
      </c>
      <c r="P1469" s="32" t="s">
        <v>238</v>
      </c>
      <c r="Q1469" s="32" t="s">
        <v>239</v>
      </c>
      <c r="R1469" s="32" t="s">
        <v>2082</v>
      </c>
      <c r="S1469" s="32">
        <v>3850000</v>
      </c>
      <c r="T1469" s="32" t="s">
        <v>1698</v>
      </c>
      <c r="U1469" s="32">
        <f>(S1469*AE1469)/AB1469</f>
        <v>394826.66670469701</v>
      </c>
      <c r="V1469" s="32" t="s">
        <v>1487</v>
      </c>
      <c r="W1469" s="32">
        <f>VLOOKUP(N1469, 'Exchange rate- Vietnam'!$A$2:$B$65, 2, 0)</f>
        <v>21935.000833333299</v>
      </c>
      <c r="X1469" s="32">
        <f t="shared" si="93"/>
        <v>17.999847353764522</v>
      </c>
      <c r="Y1469" s="32">
        <f>(CPI!$B$112/O1469)*X1469</f>
        <v>22.373266123698901</v>
      </c>
      <c r="Z1469" s="38" t="s">
        <v>1609</v>
      </c>
      <c r="AA1469" s="35" t="s">
        <v>1447</v>
      </c>
      <c r="AB1469" s="32">
        <v>154262.63</v>
      </c>
      <c r="AC1469" s="32" t="s">
        <v>1464</v>
      </c>
      <c r="AE1469" s="32">
        <v>15820</v>
      </c>
      <c r="AF1469" s="32" t="s">
        <v>1425</v>
      </c>
      <c r="AH1469" s="32" t="s">
        <v>411</v>
      </c>
      <c r="AK1469" s="40" t="s">
        <v>2084</v>
      </c>
      <c r="AL1469" s="32">
        <v>2017</v>
      </c>
      <c r="AM1469" s="32" t="s">
        <v>2085</v>
      </c>
      <c r="AN1469" s="32" t="s">
        <v>2086</v>
      </c>
      <c r="AO1469" s="38" t="s">
        <v>2087</v>
      </c>
      <c r="AP1469" s="35" t="s">
        <v>396</v>
      </c>
    </row>
    <row r="1470" spans="1:42" x14ac:dyDescent="0.2">
      <c r="A1470" s="40">
        <v>145</v>
      </c>
      <c r="B1470" s="40">
        <v>1469</v>
      </c>
      <c r="C1470" s="40" t="s">
        <v>119</v>
      </c>
      <c r="D1470" s="38" t="s">
        <v>128</v>
      </c>
      <c r="E1470" s="32" t="s">
        <v>2186</v>
      </c>
      <c r="F1470" s="32" t="s">
        <v>29</v>
      </c>
      <c r="G1470" s="38" t="s">
        <v>29</v>
      </c>
      <c r="H1470" s="32" t="s">
        <v>242</v>
      </c>
      <c r="I1470" s="32" t="s">
        <v>61</v>
      </c>
      <c r="J1470" s="32" t="s">
        <v>2079</v>
      </c>
      <c r="K1470" s="32" t="s">
        <v>1513</v>
      </c>
      <c r="L1470" s="32" t="s">
        <v>30</v>
      </c>
      <c r="M1470" s="32" t="s">
        <v>30</v>
      </c>
      <c r="N1470" s="40">
        <v>2016</v>
      </c>
      <c r="O1470" s="32">
        <f>VLOOKUP(Data!N1248, CPI!$A$2:$B$112, 2, 0)</f>
        <v>245.12</v>
      </c>
      <c r="P1470" s="32" t="s">
        <v>56</v>
      </c>
      <c r="Q1470" s="32" t="s">
        <v>239</v>
      </c>
      <c r="R1470" s="32" t="s">
        <v>2083</v>
      </c>
      <c r="S1470" s="32">
        <v>7830000</v>
      </c>
      <c r="T1470" s="32" t="s">
        <v>1698</v>
      </c>
      <c r="U1470" s="32">
        <f>(S1470*AE1470)/AB1470</f>
        <v>802985.14293448778</v>
      </c>
      <c r="V1470" s="32" t="s">
        <v>1487</v>
      </c>
      <c r="W1470" s="32">
        <f>VLOOKUP(N1470, 'Exchange rate- Vietnam'!$A$2:$B$65, 2, 0)</f>
        <v>21935.000833333299</v>
      </c>
      <c r="X1470" s="32">
        <f t="shared" si="93"/>
        <v>36.607481761032787</v>
      </c>
      <c r="Y1470" s="32">
        <f>(CPI!$B$112/O1470)*X1470</f>
        <v>45.501993181444789</v>
      </c>
      <c r="Z1470" s="38" t="s">
        <v>1609</v>
      </c>
      <c r="AA1470" s="35" t="s">
        <v>1399</v>
      </c>
      <c r="AB1470" s="32">
        <v>154262.63</v>
      </c>
      <c r="AC1470" s="32" t="s">
        <v>1464</v>
      </c>
      <c r="AE1470" s="32">
        <v>15820</v>
      </c>
      <c r="AF1470" s="32" t="s">
        <v>1425</v>
      </c>
      <c r="AH1470" s="32" t="s">
        <v>411</v>
      </c>
      <c r="AK1470" s="40" t="s">
        <v>2084</v>
      </c>
      <c r="AL1470" s="32">
        <v>2017</v>
      </c>
      <c r="AM1470" s="32" t="s">
        <v>2085</v>
      </c>
      <c r="AN1470" s="32" t="s">
        <v>2086</v>
      </c>
      <c r="AO1470" s="38" t="s">
        <v>2087</v>
      </c>
      <c r="AP1470" s="35" t="s">
        <v>396</v>
      </c>
    </row>
    <row r="1471" spans="1:42" x14ac:dyDescent="0.2">
      <c r="A1471" s="40">
        <v>146</v>
      </c>
      <c r="B1471" s="40">
        <v>1470</v>
      </c>
      <c r="C1471" s="40" t="s">
        <v>241</v>
      </c>
      <c r="D1471" s="38" t="s">
        <v>240</v>
      </c>
      <c r="E1471" s="32" t="s">
        <v>2186</v>
      </c>
      <c r="F1471" s="32" t="s">
        <v>29</v>
      </c>
      <c r="G1471" s="38" t="s">
        <v>29</v>
      </c>
      <c r="H1471" s="32" t="s">
        <v>242</v>
      </c>
      <c r="I1471" s="32" t="s">
        <v>137</v>
      </c>
      <c r="J1471" s="32" t="s">
        <v>1513</v>
      </c>
      <c r="K1471" s="32" t="s">
        <v>1513</v>
      </c>
      <c r="L1471" s="32" t="s">
        <v>30</v>
      </c>
      <c r="M1471" s="32" t="s">
        <v>30</v>
      </c>
      <c r="N1471" s="40">
        <v>2007</v>
      </c>
      <c r="O1471" s="32">
        <f>VLOOKUP(Data!N1017, CPI!$A$2:$B$112, 2, 0)</f>
        <v>270.97000000000003</v>
      </c>
      <c r="P1471" s="32" t="s">
        <v>56</v>
      </c>
      <c r="Q1471" s="32" t="s">
        <v>239</v>
      </c>
      <c r="R1471" s="32" t="s">
        <v>2088</v>
      </c>
      <c r="S1471" s="32">
        <v>900000000</v>
      </c>
      <c r="T1471" s="32" t="s">
        <v>608</v>
      </c>
      <c r="U1471" s="32">
        <f>S1471/AB1471</f>
        <v>225</v>
      </c>
      <c r="V1471" s="32" t="s">
        <v>316</v>
      </c>
      <c r="X1471" s="32">
        <f>U1471</f>
        <v>225</v>
      </c>
      <c r="Y1471" s="32">
        <f>(CPI!$B$112/O1471)*X1471</f>
        <v>252.98840738827178</v>
      </c>
      <c r="Z1471" s="38" t="s">
        <v>262</v>
      </c>
      <c r="AA1471" s="35" t="s">
        <v>2090</v>
      </c>
      <c r="AB1471" s="32">
        <v>4000000</v>
      </c>
      <c r="AC1471" s="32" t="s">
        <v>2779</v>
      </c>
      <c r="AH1471" s="32" t="s">
        <v>411</v>
      </c>
      <c r="AK1471" s="40" t="s">
        <v>2092</v>
      </c>
      <c r="AL1471" s="32">
        <v>2019</v>
      </c>
      <c r="AM1471" s="32" t="s">
        <v>2093</v>
      </c>
      <c r="AN1471" s="32" t="s">
        <v>2094</v>
      </c>
      <c r="AO1471" s="38" t="s">
        <v>2095</v>
      </c>
      <c r="AP1471" s="35" t="s">
        <v>396</v>
      </c>
    </row>
    <row r="1472" spans="1:42" x14ac:dyDescent="0.2">
      <c r="A1472" s="40">
        <v>146</v>
      </c>
      <c r="B1472" s="40">
        <v>1471</v>
      </c>
      <c r="C1472" s="40" t="s">
        <v>241</v>
      </c>
      <c r="D1472" s="38" t="s">
        <v>240</v>
      </c>
      <c r="E1472" s="32" t="s">
        <v>2186</v>
      </c>
      <c r="F1472" s="32" t="s">
        <v>29</v>
      </c>
      <c r="G1472" s="38" t="s">
        <v>29</v>
      </c>
      <c r="H1472" s="32" t="s">
        <v>242</v>
      </c>
      <c r="I1472" s="32" t="s">
        <v>137</v>
      </c>
      <c r="J1472" s="32" t="s">
        <v>1513</v>
      </c>
      <c r="K1472" s="32" t="s">
        <v>1513</v>
      </c>
      <c r="L1472" s="32" t="s">
        <v>30</v>
      </c>
      <c r="M1472" s="32" t="s">
        <v>30</v>
      </c>
      <c r="N1472" s="40">
        <v>2007</v>
      </c>
      <c r="O1472" s="32">
        <f>VLOOKUP(Data!N1018, CPI!$A$2:$B$112, 2, 0)</f>
        <v>270.97000000000003</v>
      </c>
      <c r="P1472" s="32" t="s">
        <v>56</v>
      </c>
      <c r="Q1472" s="32" t="s">
        <v>239</v>
      </c>
      <c r="R1472" s="32" t="s">
        <v>2089</v>
      </c>
      <c r="S1472" s="32">
        <v>2000000000</v>
      </c>
      <c r="T1472" s="32" t="s">
        <v>608</v>
      </c>
      <c r="U1472" s="32">
        <f>S1472/AB1472</f>
        <v>500</v>
      </c>
      <c r="V1472" s="32" t="s">
        <v>316</v>
      </c>
      <c r="X1472" s="32">
        <f>U1472</f>
        <v>500</v>
      </c>
      <c r="Y1472" s="32">
        <f>(CPI!$B$112/O1472)*X1472</f>
        <v>562.19646086282614</v>
      </c>
      <c r="Z1472" s="38" t="s">
        <v>262</v>
      </c>
      <c r="AA1472" s="35" t="s">
        <v>2090</v>
      </c>
      <c r="AB1472" s="32">
        <v>4000000</v>
      </c>
      <c r="AC1472" s="32" t="s">
        <v>2779</v>
      </c>
      <c r="AH1472" s="32" t="s">
        <v>411</v>
      </c>
      <c r="AK1472" s="40" t="s">
        <v>2092</v>
      </c>
      <c r="AL1472" s="32">
        <v>2019</v>
      </c>
      <c r="AM1472" s="32" t="s">
        <v>2093</v>
      </c>
      <c r="AN1472" s="32" t="s">
        <v>2094</v>
      </c>
      <c r="AO1472" s="38" t="s">
        <v>2095</v>
      </c>
      <c r="AP1472" s="35" t="s">
        <v>396</v>
      </c>
    </row>
    <row r="1473" spans="1:42" x14ac:dyDescent="0.2">
      <c r="A1473" s="40">
        <v>146</v>
      </c>
      <c r="B1473" s="40">
        <v>1472</v>
      </c>
      <c r="C1473" s="40" t="s">
        <v>241</v>
      </c>
      <c r="D1473" s="38" t="s">
        <v>240</v>
      </c>
      <c r="E1473" s="32" t="s">
        <v>2186</v>
      </c>
      <c r="F1473" s="32" t="s">
        <v>29</v>
      </c>
      <c r="G1473" s="38" t="s">
        <v>29</v>
      </c>
      <c r="H1473" s="32" t="s">
        <v>242</v>
      </c>
      <c r="I1473" s="32" t="s">
        <v>137</v>
      </c>
      <c r="J1473" s="32" t="s">
        <v>1513</v>
      </c>
      <c r="K1473" s="32" t="s">
        <v>1513</v>
      </c>
      <c r="L1473" s="32" t="s">
        <v>30</v>
      </c>
      <c r="M1473" s="32" t="s">
        <v>30</v>
      </c>
      <c r="N1473" s="40">
        <v>2015</v>
      </c>
      <c r="O1473" s="32">
        <f>VLOOKUP(Data!N1570, CPI!$A$2:$B$112, 2, 0)</f>
        <v>172.2</v>
      </c>
      <c r="P1473" s="32" t="s">
        <v>56</v>
      </c>
      <c r="Q1473" s="32" t="s">
        <v>239</v>
      </c>
      <c r="R1473" s="32" t="s">
        <v>2091</v>
      </c>
      <c r="S1473" s="32">
        <v>86</v>
      </c>
      <c r="T1473" s="32" t="s">
        <v>362</v>
      </c>
      <c r="Z1473" s="38" t="s">
        <v>262</v>
      </c>
      <c r="AA1473" s="35" t="s">
        <v>2090</v>
      </c>
      <c r="AB1473" s="32" t="s">
        <v>30</v>
      </c>
      <c r="AH1473" s="32" t="s">
        <v>411</v>
      </c>
      <c r="AK1473" s="40" t="s">
        <v>2092</v>
      </c>
      <c r="AL1473" s="32">
        <v>2019</v>
      </c>
      <c r="AM1473" s="32" t="s">
        <v>2093</v>
      </c>
      <c r="AN1473" s="32" t="s">
        <v>2094</v>
      </c>
      <c r="AO1473" s="38" t="s">
        <v>2095</v>
      </c>
      <c r="AP1473" s="35" t="s">
        <v>396</v>
      </c>
    </row>
    <row r="1474" spans="1:42" x14ac:dyDescent="0.2">
      <c r="A1474" s="40">
        <v>147</v>
      </c>
      <c r="B1474" s="40">
        <v>1473</v>
      </c>
      <c r="C1474" s="40" t="s">
        <v>119</v>
      </c>
      <c r="D1474" s="38" t="s">
        <v>128</v>
      </c>
      <c r="E1474" s="32" t="s">
        <v>2186</v>
      </c>
      <c r="F1474" s="32" t="s">
        <v>29</v>
      </c>
      <c r="G1474" s="38" t="s">
        <v>29</v>
      </c>
      <c r="H1474" s="32" t="s">
        <v>242</v>
      </c>
      <c r="I1474" s="32" t="s">
        <v>243</v>
      </c>
      <c r="J1474" s="32" t="s">
        <v>2096</v>
      </c>
      <c r="K1474" s="32" t="s">
        <v>1513</v>
      </c>
      <c r="L1474" s="32" t="s">
        <v>30</v>
      </c>
      <c r="M1474" s="32" t="s">
        <v>30</v>
      </c>
      <c r="N1474" s="40">
        <v>2009</v>
      </c>
      <c r="O1474" s="32">
        <f>VLOOKUP(Data!N1019, CPI!$A$2:$B$112, 2, 0)</f>
        <v>215.303</v>
      </c>
      <c r="P1474" s="32" t="s">
        <v>56</v>
      </c>
      <c r="Q1474" s="32" t="s">
        <v>239</v>
      </c>
      <c r="R1474" s="32" t="s">
        <v>2097</v>
      </c>
      <c r="S1474" s="32">
        <v>5</v>
      </c>
      <c r="T1474" s="32" t="s">
        <v>316</v>
      </c>
      <c r="U1474" s="32">
        <v>5</v>
      </c>
      <c r="V1474" s="32" t="s">
        <v>316</v>
      </c>
      <c r="X1474" s="32">
        <f t="shared" ref="X1474:X1481" si="95">U1474</f>
        <v>5</v>
      </c>
      <c r="Y1474" s="32">
        <f>(CPI!$B$112/O1474)*X1474</f>
        <v>7.0755342470843416</v>
      </c>
      <c r="Z1474" s="38" t="s">
        <v>262</v>
      </c>
      <c r="AA1474" s="35" t="s">
        <v>2099</v>
      </c>
      <c r="AB1474" s="32">
        <v>12000</v>
      </c>
      <c r="AH1474" s="32" t="s">
        <v>411</v>
      </c>
      <c r="AK1474" s="40" t="s">
        <v>2105</v>
      </c>
      <c r="AL1474" s="32">
        <v>2012</v>
      </c>
      <c r="AM1474" s="32" t="s">
        <v>2106</v>
      </c>
      <c r="AN1474" s="32" t="s">
        <v>2107</v>
      </c>
      <c r="AO1474" s="38" t="s">
        <v>2108</v>
      </c>
      <c r="AP1474" s="35" t="s">
        <v>396</v>
      </c>
    </row>
    <row r="1475" spans="1:42" x14ac:dyDescent="0.2">
      <c r="A1475" s="40">
        <v>147</v>
      </c>
      <c r="B1475" s="40">
        <v>1474</v>
      </c>
      <c r="C1475" s="40" t="s">
        <v>119</v>
      </c>
      <c r="D1475" s="38" t="s">
        <v>128</v>
      </c>
      <c r="E1475" s="32" t="s">
        <v>2186</v>
      </c>
      <c r="F1475" s="32" t="s">
        <v>29</v>
      </c>
      <c r="G1475" s="38" t="s">
        <v>29</v>
      </c>
      <c r="H1475" s="32" t="s">
        <v>242</v>
      </c>
      <c r="I1475" s="32" t="s">
        <v>243</v>
      </c>
      <c r="J1475" s="32" t="s">
        <v>2096</v>
      </c>
      <c r="K1475" s="32" t="s">
        <v>1513</v>
      </c>
      <c r="L1475" s="32" t="s">
        <v>30</v>
      </c>
      <c r="M1475" s="32" t="s">
        <v>30</v>
      </c>
      <c r="N1475" s="40">
        <v>2009</v>
      </c>
      <c r="O1475" s="32">
        <f>VLOOKUP(Data!N1020, CPI!$A$2:$B$112, 2, 0)</f>
        <v>215.303</v>
      </c>
      <c r="P1475" s="32" t="s">
        <v>56</v>
      </c>
      <c r="Q1475" s="32" t="s">
        <v>239</v>
      </c>
      <c r="R1475" s="32" t="s">
        <v>2098</v>
      </c>
      <c r="S1475" s="32">
        <v>153</v>
      </c>
      <c r="T1475" s="32" t="s">
        <v>316</v>
      </c>
      <c r="U1475" s="32">
        <v>153</v>
      </c>
      <c r="V1475" s="32" t="s">
        <v>316</v>
      </c>
      <c r="X1475" s="32">
        <f t="shared" si="95"/>
        <v>153</v>
      </c>
      <c r="Y1475" s="32">
        <f>(CPI!$B$112/O1475)*X1475</f>
        <v>216.51134796078085</v>
      </c>
      <c r="Z1475" s="38" t="s">
        <v>262</v>
      </c>
      <c r="AA1475" s="35" t="s">
        <v>2099</v>
      </c>
      <c r="AB1475" s="32">
        <v>12000</v>
      </c>
      <c r="AH1475" s="32" t="s">
        <v>411</v>
      </c>
      <c r="AK1475" s="40" t="s">
        <v>2105</v>
      </c>
      <c r="AL1475" s="32">
        <v>2012</v>
      </c>
      <c r="AM1475" s="32" t="s">
        <v>2106</v>
      </c>
      <c r="AN1475" s="32" t="s">
        <v>2107</v>
      </c>
      <c r="AO1475" s="38" t="s">
        <v>2108</v>
      </c>
      <c r="AP1475" s="35" t="s">
        <v>396</v>
      </c>
    </row>
    <row r="1476" spans="1:42" x14ac:dyDescent="0.2">
      <c r="A1476" s="40">
        <v>147</v>
      </c>
      <c r="B1476" s="40">
        <v>1475</v>
      </c>
      <c r="C1476" s="40" t="s">
        <v>119</v>
      </c>
      <c r="D1476" s="38" t="s">
        <v>128</v>
      </c>
      <c r="E1476" s="32" t="s">
        <v>2186</v>
      </c>
      <c r="F1476" s="32" t="s">
        <v>29</v>
      </c>
      <c r="G1476" s="38" t="s">
        <v>29</v>
      </c>
      <c r="H1476" s="32" t="s">
        <v>242</v>
      </c>
      <c r="I1476" s="32" t="s">
        <v>243</v>
      </c>
      <c r="J1476" s="32" t="s">
        <v>2096</v>
      </c>
      <c r="K1476" s="32" t="s">
        <v>1513</v>
      </c>
      <c r="L1476" s="32" t="s">
        <v>30</v>
      </c>
      <c r="M1476" s="32" t="s">
        <v>30</v>
      </c>
      <c r="N1476" s="40">
        <v>2003</v>
      </c>
      <c r="O1476" s="32">
        <f>VLOOKUP(Data!N1021, CPI!$A$2:$B$112, 2, 0)</f>
        <v>237.017</v>
      </c>
      <c r="P1476" s="32" t="s">
        <v>56</v>
      </c>
      <c r="Q1476" s="32" t="s">
        <v>239</v>
      </c>
      <c r="R1476" s="32" t="s">
        <v>2097</v>
      </c>
      <c r="S1476" s="32">
        <v>3</v>
      </c>
      <c r="T1476" s="32" t="s">
        <v>316</v>
      </c>
      <c r="U1476" s="32">
        <v>3</v>
      </c>
      <c r="V1476" s="32" t="s">
        <v>316</v>
      </c>
      <c r="X1476" s="32">
        <f t="shared" si="95"/>
        <v>3</v>
      </c>
      <c r="Y1476" s="32">
        <f>(CPI!$B$112/O1476)*X1476</f>
        <v>3.8563911027479048</v>
      </c>
      <c r="Z1476" s="38" t="s">
        <v>262</v>
      </c>
      <c r="AA1476" s="35" t="s">
        <v>2099</v>
      </c>
      <c r="AB1476" s="32">
        <v>12000</v>
      </c>
      <c r="AH1476" s="32" t="s">
        <v>411</v>
      </c>
      <c r="AK1476" s="40" t="s">
        <v>2105</v>
      </c>
      <c r="AL1476" s="32">
        <v>2012</v>
      </c>
      <c r="AM1476" s="32" t="s">
        <v>2106</v>
      </c>
      <c r="AN1476" s="32" t="s">
        <v>2107</v>
      </c>
      <c r="AO1476" s="38" t="s">
        <v>2108</v>
      </c>
      <c r="AP1476" s="35" t="s">
        <v>396</v>
      </c>
    </row>
    <row r="1477" spans="1:42" x14ac:dyDescent="0.2">
      <c r="A1477" s="40">
        <v>147</v>
      </c>
      <c r="B1477" s="40">
        <v>1476</v>
      </c>
      <c r="C1477" s="40" t="s">
        <v>119</v>
      </c>
      <c r="D1477" s="38" t="s">
        <v>128</v>
      </c>
      <c r="E1477" s="32" t="s">
        <v>2186</v>
      </c>
      <c r="F1477" s="32" t="s">
        <v>29</v>
      </c>
      <c r="G1477" s="38" t="s">
        <v>29</v>
      </c>
      <c r="H1477" s="32" t="s">
        <v>242</v>
      </c>
      <c r="I1477" s="32" t="s">
        <v>243</v>
      </c>
      <c r="J1477" s="32" t="s">
        <v>2096</v>
      </c>
      <c r="K1477" s="32" t="s">
        <v>1513</v>
      </c>
      <c r="L1477" s="32" t="s">
        <v>30</v>
      </c>
      <c r="M1477" s="32" t="s">
        <v>30</v>
      </c>
      <c r="N1477" s="40">
        <v>2003</v>
      </c>
      <c r="O1477" s="32">
        <f>VLOOKUP(Data!N1022, CPI!$A$2:$B$112, 2, 0)</f>
        <v>237.017</v>
      </c>
      <c r="P1477" s="32" t="s">
        <v>56</v>
      </c>
      <c r="Q1477" s="32" t="s">
        <v>239</v>
      </c>
      <c r="R1477" s="32" t="s">
        <v>2098</v>
      </c>
      <c r="S1477" s="32">
        <v>113</v>
      </c>
      <c r="T1477" s="32" t="s">
        <v>316</v>
      </c>
      <c r="U1477" s="32">
        <v>113</v>
      </c>
      <c r="V1477" s="32" t="s">
        <v>316</v>
      </c>
      <c r="X1477" s="32">
        <f t="shared" si="95"/>
        <v>113</v>
      </c>
      <c r="Y1477" s="32">
        <f>(CPI!$B$112/O1477)*X1477</f>
        <v>145.25739820350441</v>
      </c>
      <c r="Z1477" s="38" t="s">
        <v>262</v>
      </c>
      <c r="AA1477" s="35" t="s">
        <v>2099</v>
      </c>
      <c r="AB1477" s="32">
        <v>12000</v>
      </c>
      <c r="AH1477" s="32" t="s">
        <v>411</v>
      </c>
      <c r="AK1477" s="40" t="s">
        <v>2105</v>
      </c>
      <c r="AL1477" s="32">
        <v>2012</v>
      </c>
      <c r="AM1477" s="32" t="s">
        <v>2106</v>
      </c>
      <c r="AN1477" s="32" t="s">
        <v>2107</v>
      </c>
      <c r="AO1477" s="38" t="s">
        <v>2108</v>
      </c>
      <c r="AP1477" s="35" t="s">
        <v>396</v>
      </c>
    </row>
    <row r="1478" spans="1:42" x14ac:dyDescent="0.2">
      <c r="A1478" s="40">
        <v>147</v>
      </c>
      <c r="B1478" s="40">
        <v>1477</v>
      </c>
      <c r="C1478" s="40" t="s">
        <v>114</v>
      </c>
      <c r="D1478" s="38" t="s">
        <v>114</v>
      </c>
      <c r="E1478" s="32" t="s">
        <v>2183</v>
      </c>
      <c r="F1478" s="32" t="s">
        <v>244</v>
      </c>
      <c r="G1478" s="38" t="s">
        <v>1102</v>
      </c>
      <c r="H1478" s="32" t="s">
        <v>242</v>
      </c>
      <c r="I1478" s="32" t="s">
        <v>243</v>
      </c>
      <c r="J1478" s="32" t="s">
        <v>1661</v>
      </c>
      <c r="K1478" s="32" t="s">
        <v>1513</v>
      </c>
      <c r="L1478" s="32" t="s">
        <v>30</v>
      </c>
      <c r="M1478" s="32" t="s">
        <v>30</v>
      </c>
      <c r="N1478" s="40">
        <v>2009</v>
      </c>
      <c r="O1478" s="32">
        <f>VLOOKUP(Data!N1023, CPI!$A$2:$B$112, 2, 0)</f>
        <v>237.017</v>
      </c>
      <c r="P1478" s="32" t="s">
        <v>56</v>
      </c>
      <c r="Q1478" s="32" t="s">
        <v>239</v>
      </c>
      <c r="R1478" s="32" t="s">
        <v>2100</v>
      </c>
      <c r="S1478" s="32">
        <v>16</v>
      </c>
      <c r="T1478" s="32" t="s">
        <v>316</v>
      </c>
      <c r="U1478" s="32">
        <v>16</v>
      </c>
      <c r="V1478" s="32" t="s">
        <v>316</v>
      </c>
      <c r="X1478" s="32">
        <f t="shared" si="95"/>
        <v>16</v>
      </c>
      <c r="Y1478" s="32">
        <f>(CPI!$B$112/O1478)*X1478</f>
        <v>20.567419214655491</v>
      </c>
      <c r="Z1478" s="38" t="s">
        <v>262</v>
      </c>
      <c r="AA1478" s="35" t="s">
        <v>2103</v>
      </c>
      <c r="AB1478" s="32">
        <v>516800</v>
      </c>
      <c r="AH1478" s="32" t="s">
        <v>411</v>
      </c>
      <c r="AK1478" s="40" t="s">
        <v>2105</v>
      </c>
      <c r="AL1478" s="32">
        <v>2012</v>
      </c>
      <c r="AM1478" s="32" t="s">
        <v>2106</v>
      </c>
      <c r="AN1478" s="32" t="s">
        <v>2107</v>
      </c>
      <c r="AO1478" s="38" t="s">
        <v>2108</v>
      </c>
      <c r="AP1478" s="35" t="s">
        <v>396</v>
      </c>
    </row>
    <row r="1479" spans="1:42" x14ac:dyDescent="0.2">
      <c r="A1479" s="40">
        <v>147</v>
      </c>
      <c r="B1479" s="40">
        <v>1478</v>
      </c>
      <c r="C1479" s="40" t="s">
        <v>114</v>
      </c>
      <c r="D1479" s="38" t="s">
        <v>114</v>
      </c>
      <c r="E1479" s="32" t="s">
        <v>2184</v>
      </c>
      <c r="F1479" s="32" t="s">
        <v>43</v>
      </c>
      <c r="G1479" s="38" t="s">
        <v>46</v>
      </c>
      <c r="H1479" s="32" t="s">
        <v>242</v>
      </c>
      <c r="I1479" s="32" t="s">
        <v>243</v>
      </c>
      <c r="J1479" s="32" t="s">
        <v>1661</v>
      </c>
      <c r="K1479" s="32" t="s">
        <v>1513</v>
      </c>
      <c r="L1479" s="32" t="s">
        <v>30</v>
      </c>
      <c r="M1479" s="32" t="s">
        <v>30</v>
      </c>
      <c r="N1479" s="40">
        <v>2009</v>
      </c>
      <c r="O1479" s="32">
        <f>VLOOKUP(Data!N1024, CPI!$A$2:$B$112, 2, 0)</f>
        <v>237.017</v>
      </c>
      <c r="P1479" s="32" t="s">
        <v>56</v>
      </c>
      <c r="Q1479" s="32" t="s">
        <v>239</v>
      </c>
      <c r="R1479" s="32" t="s">
        <v>2101</v>
      </c>
      <c r="S1479" s="32">
        <v>15</v>
      </c>
      <c r="T1479" s="32" t="s">
        <v>316</v>
      </c>
      <c r="U1479" s="32">
        <v>15</v>
      </c>
      <c r="V1479" s="32" t="s">
        <v>316</v>
      </c>
      <c r="X1479" s="32">
        <f t="shared" si="95"/>
        <v>15</v>
      </c>
      <c r="Y1479" s="32">
        <f>(CPI!$B$112/O1479)*X1479</f>
        <v>19.281955513739522</v>
      </c>
      <c r="Z1479" s="38" t="s">
        <v>262</v>
      </c>
      <c r="AA1479" s="35" t="s">
        <v>2103</v>
      </c>
      <c r="AB1479" s="32">
        <v>516800</v>
      </c>
      <c r="AH1479" s="32" t="s">
        <v>411</v>
      </c>
      <c r="AK1479" s="40" t="s">
        <v>2105</v>
      </c>
      <c r="AL1479" s="32">
        <v>2012</v>
      </c>
      <c r="AM1479" s="32" t="s">
        <v>2106</v>
      </c>
      <c r="AN1479" s="32" t="s">
        <v>2107</v>
      </c>
      <c r="AO1479" s="38" t="s">
        <v>2108</v>
      </c>
      <c r="AP1479" s="35" t="s">
        <v>396</v>
      </c>
    </row>
    <row r="1480" spans="1:42" x14ac:dyDescent="0.2">
      <c r="A1480" s="40">
        <v>147</v>
      </c>
      <c r="B1480" s="40">
        <v>1479</v>
      </c>
      <c r="C1480" s="40" t="s">
        <v>114</v>
      </c>
      <c r="D1480" s="38" t="s">
        <v>114</v>
      </c>
      <c r="E1480" s="32" t="s">
        <v>2186</v>
      </c>
      <c r="F1480" s="32" t="s">
        <v>29</v>
      </c>
      <c r="G1480" s="38" t="s">
        <v>29</v>
      </c>
      <c r="H1480" s="32" t="s">
        <v>242</v>
      </c>
      <c r="I1480" s="32" t="s">
        <v>243</v>
      </c>
      <c r="J1480" s="32" t="s">
        <v>1661</v>
      </c>
      <c r="K1480" s="32" t="s">
        <v>1513</v>
      </c>
      <c r="L1480" s="32" t="s">
        <v>30</v>
      </c>
      <c r="M1480" s="32" t="s">
        <v>30</v>
      </c>
      <c r="N1480" s="40">
        <v>2009</v>
      </c>
      <c r="O1480" s="32">
        <f>VLOOKUP(Data!N1025, CPI!$A$2:$B$112, 2, 0)</f>
        <v>237.017</v>
      </c>
      <c r="P1480" s="32" t="s">
        <v>56</v>
      </c>
      <c r="Q1480" s="32" t="s">
        <v>239</v>
      </c>
      <c r="R1480" s="32" t="s">
        <v>2102</v>
      </c>
      <c r="S1480" s="32">
        <v>0.5</v>
      </c>
      <c r="T1480" s="32" t="s">
        <v>316</v>
      </c>
      <c r="U1480" s="32">
        <v>0.5</v>
      </c>
      <c r="V1480" s="32" t="s">
        <v>316</v>
      </c>
      <c r="X1480" s="32">
        <f t="shared" si="95"/>
        <v>0.5</v>
      </c>
      <c r="Y1480" s="32">
        <f>(CPI!$B$112/O1480)*X1480</f>
        <v>0.64273185045798409</v>
      </c>
      <c r="Z1480" s="38" t="s">
        <v>262</v>
      </c>
      <c r="AA1480" s="35" t="s">
        <v>2103</v>
      </c>
      <c r="AB1480" s="32">
        <v>516800</v>
      </c>
      <c r="AH1480" s="32" t="s">
        <v>411</v>
      </c>
      <c r="AK1480" s="40" t="s">
        <v>2105</v>
      </c>
      <c r="AL1480" s="32">
        <v>2012</v>
      </c>
      <c r="AM1480" s="32" t="s">
        <v>2106</v>
      </c>
      <c r="AN1480" s="32" t="s">
        <v>2107</v>
      </c>
      <c r="AO1480" s="38" t="s">
        <v>2108</v>
      </c>
      <c r="AP1480" s="35" t="s">
        <v>396</v>
      </c>
    </row>
    <row r="1481" spans="1:42" x14ac:dyDescent="0.2">
      <c r="A1481" s="40">
        <v>147</v>
      </c>
      <c r="B1481" s="40">
        <v>1480</v>
      </c>
      <c r="C1481" s="40" t="s">
        <v>119</v>
      </c>
      <c r="D1481" s="38" t="s">
        <v>128</v>
      </c>
      <c r="E1481" s="32" t="s">
        <v>2186</v>
      </c>
      <c r="F1481" s="32" t="s">
        <v>29</v>
      </c>
      <c r="G1481" s="38" t="s">
        <v>29</v>
      </c>
      <c r="H1481" s="32" t="s">
        <v>242</v>
      </c>
      <c r="I1481" s="32" t="s">
        <v>243</v>
      </c>
      <c r="J1481" s="32" t="s">
        <v>1319</v>
      </c>
      <c r="K1481" s="32" t="s">
        <v>1513</v>
      </c>
      <c r="L1481" s="32" t="s">
        <v>30</v>
      </c>
      <c r="M1481" s="32" t="s">
        <v>30</v>
      </c>
      <c r="N1481" s="40">
        <v>2009</v>
      </c>
      <c r="O1481" s="32">
        <f>VLOOKUP(Data!N1026, CPI!$A$2:$B$112, 2, 0)</f>
        <v>237.017</v>
      </c>
      <c r="P1481" s="32" t="s">
        <v>56</v>
      </c>
      <c r="Q1481" s="32" t="s">
        <v>239</v>
      </c>
      <c r="R1481" s="32" t="s">
        <v>2104</v>
      </c>
      <c r="S1481" s="32">
        <v>21</v>
      </c>
      <c r="T1481" s="32" t="s">
        <v>316</v>
      </c>
      <c r="U1481" s="32">
        <v>21</v>
      </c>
      <c r="V1481" s="32" t="s">
        <v>316</v>
      </c>
      <c r="X1481" s="32">
        <f t="shared" si="95"/>
        <v>21</v>
      </c>
      <c r="Y1481" s="32">
        <f>(CPI!$B$112/O1481)*X1481</f>
        <v>26.994737719235331</v>
      </c>
      <c r="Z1481" s="38" t="s">
        <v>262</v>
      </c>
      <c r="AA1481" s="35" t="s">
        <v>2103</v>
      </c>
      <c r="AB1481" s="32">
        <v>397000</v>
      </c>
      <c r="AH1481" s="32" t="s">
        <v>411</v>
      </c>
      <c r="AK1481" s="40" t="s">
        <v>2105</v>
      </c>
      <c r="AL1481" s="32">
        <v>2012</v>
      </c>
      <c r="AM1481" s="32" t="s">
        <v>2106</v>
      </c>
      <c r="AN1481" s="32" t="s">
        <v>2107</v>
      </c>
      <c r="AO1481" s="38" t="s">
        <v>2108</v>
      </c>
      <c r="AP1481" s="35" t="s">
        <v>396</v>
      </c>
    </row>
    <row r="1482" spans="1:42" x14ac:dyDescent="0.2">
      <c r="A1482" s="40">
        <v>148</v>
      </c>
      <c r="B1482" s="40">
        <v>1481</v>
      </c>
      <c r="C1482" s="40" t="s">
        <v>149</v>
      </c>
      <c r="D1482" s="38" t="s">
        <v>148</v>
      </c>
      <c r="E1482" s="32" t="s">
        <v>2183</v>
      </c>
      <c r="F1482" s="32" t="s">
        <v>237</v>
      </c>
      <c r="G1482" s="38" t="s">
        <v>154</v>
      </c>
      <c r="H1482" s="32" t="s">
        <v>151</v>
      </c>
      <c r="I1482" s="32" t="s">
        <v>243</v>
      </c>
      <c r="J1482" s="32" t="s">
        <v>2117</v>
      </c>
      <c r="K1482" s="32" t="s">
        <v>1513</v>
      </c>
      <c r="L1482" s="32" t="s">
        <v>30</v>
      </c>
      <c r="M1482" s="32" t="s">
        <v>30</v>
      </c>
      <c r="N1482" s="40">
        <v>2020</v>
      </c>
      <c r="O1482" s="32">
        <f>VLOOKUP(Data!N1249, CPI!$A$2:$B$112, 2, 0)</f>
        <v>236.73599999999999</v>
      </c>
      <c r="P1482" s="32" t="s">
        <v>7</v>
      </c>
      <c r="Q1482" s="32" t="s">
        <v>239</v>
      </c>
      <c r="R1482" s="32" t="s">
        <v>2109</v>
      </c>
      <c r="S1482" s="32">
        <v>53300000</v>
      </c>
      <c r="T1482" s="32" t="s">
        <v>1487</v>
      </c>
      <c r="U1482" s="32">
        <v>53300000</v>
      </c>
      <c r="V1482" s="32" t="s">
        <v>1487</v>
      </c>
      <c r="W1482" s="32">
        <f>VLOOKUP(N1482, 'Exchange rate- Vietnam'!$A$2:$B$65, 2, 0)</f>
        <v>23208.368333333299</v>
      </c>
      <c r="X1482" s="32">
        <f t="shared" ref="X1482:X1522" si="96">U1482/W1482</f>
        <v>2296.5854055085479</v>
      </c>
      <c r="Y1482" s="32">
        <f>(CPI!$B$112/O1482)*X1482</f>
        <v>2955.6813389082208</v>
      </c>
      <c r="Z1482" s="38" t="s">
        <v>1609</v>
      </c>
      <c r="AA1482" s="35" t="s">
        <v>1412</v>
      </c>
      <c r="AB1482" s="32">
        <f>4.9*12</f>
        <v>58.800000000000004</v>
      </c>
      <c r="AC1482" s="32" t="s">
        <v>2118</v>
      </c>
      <c r="AH1482" s="32" t="s">
        <v>411</v>
      </c>
      <c r="AK1482" s="40" t="s">
        <v>2119</v>
      </c>
      <c r="AL1482" s="32">
        <v>2022</v>
      </c>
      <c r="AM1482" s="32" t="s">
        <v>2130</v>
      </c>
      <c r="AN1482" s="32" t="s">
        <v>2120</v>
      </c>
      <c r="AO1482" s="38" t="s">
        <v>2121</v>
      </c>
      <c r="AP1482" s="35" t="s">
        <v>396</v>
      </c>
    </row>
    <row r="1483" spans="1:42" x14ac:dyDescent="0.2">
      <c r="A1483" s="40">
        <v>148</v>
      </c>
      <c r="B1483" s="40">
        <v>1482</v>
      </c>
      <c r="C1483" s="40" t="s">
        <v>149</v>
      </c>
      <c r="D1483" s="38" t="s">
        <v>148</v>
      </c>
      <c r="E1483" s="32" t="s">
        <v>2183</v>
      </c>
      <c r="F1483" s="32" t="s">
        <v>237</v>
      </c>
      <c r="G1483" s="38" t="s">
        <v>154</v>
      </c>
      <c r="H1483" s="32" t="s">
        <v>151</v>
      </c>
      <c r="I1483" s="32" t="s">
        <v>243</v>
      </c>
      <c r="J1483" s="32" t="s">
        <v>2117</v>
      </c>
      <c r="K1483" s="32" t="s">
        <v>1513</v>
      </c>
      <c r="L1483" s="32" t="s">
        <v>30</v>
      </c>
      <c r="M1483" s="32" t="s">
        <v>30</v>
      </c>
      <c r="N1483" s="40">
        <v>2020</v>
      </c>
      <c r="O1483" s="32">
        <f>VLOOKUP(Data!N1250, CPI!$A$2:$B$112, 2, 0)</f>
        <v>236.73599999999999</v>
      </c>
      <c r="P1483" s="32" t="s">
        <v>7</v>
      </c>
      <c r="Q1483" s="32" t="s">
        <v>239</v>
      </c>
      <c r="R1483" s="32" t="s">
        <v>2110</v>
      </c>
      <c r="S1483" s="32">
        <v>44900000</v>
      </c>
      <c r="T1483" s="32" t="s">
        <v>1487</v>
      </c>
      <c r="U1483" s="32">
        <v>44900000</v>
      </c>
      <c r="V1483" s="32" t="s">
        <v>1487</v>
      </c>
      <c r="W1483" s="32">
        <f>VLOOKUP(N1483, 'Exchange rate- Vietnam'!$A$2:$B$65, 2, 0)</f>
        <v>23208.368333333299</v>
      </c>
      <c r="X1483" s="32">
        <f t="shared" si="96"/>
        <v>1934.6469926329044</v>
      </c>
      <c r="Y1483" s="32">
        <f>(CPI!$B$112/O1483)*X1483</f>
        <v>2489.8703961909778</v>
      </c>
      <c r="Z1483" s="38" t="s">
        <v>1609</v>
      </c>
      <c r="AA1483" s="35" t="s">
        <v>1412</v>
      </c>
      <c r="AB1483" s="32">
        <f>4.7*10</f>
        <v>47</v>
      </c>
      <c r="AC1483" s="32" t="s">
        <v>2118</v>
      </c>
      <c r="AH1483" s="32" t="s">
        <v>411</v>
      </c>
      <c r="AK1483" s="40" t="s">
        <v>2119</v>
      </c>
      <c r="AL1483" s="32">
        <v>2022</v>
      </c>
      <c r="AM1483" s="32" t="s">
        <v>2130</v>
      </c>
      <c r="AN1483" s="32" t="s">
        <v>2120</v>
      </c>
      <c r="AO1483" s="38" t="s">
        <v>2121</v>
      </c>
      <c r="AP1483" s="35" t="s">
        <v>396</v>
      </c>
    </row>
    <row r="1484" spans="1:42" x14ac:dyDescent="0.2">
      <c r="A1484" s="40">
        <v>148</v>
      </c>
      <c r="B1484" s="40">
        <v>1483</v>
      </c>
      <c r="C1484" s="40" t="s">
        <v>149</v>
      </c>
      <c r="D1484" s="38" t="s">
        <v>148</v>
      </c>
      <c r="E1484" s="32" t="s">
        <v>2183</v>
      </c>
      <c r="F1484" s="32" t="s">
        <v>237</v>
      </c>
      <c r="G1484" s="38" t="s">
        <v>154</v>
      </c>
      <c r="H1484" s="32" t="s">
        <v>151</v>
      </c>
      <c r="I1484" s="32" t="s">
        <v>243</v>
      </c>
      <c r="J1484" s="32" t="s">
        <v>2117</v>
      </c>
      <c r="K1484" s="32" t="s">
        <v>1513</v>
      </c>
      <c r="L1484" s="32" t="s">
        <v>30</v>
      </c>
      <c r="M1484" s="32" t="s">
        <v>30</v>
      </c>
      <c r="N1484" s="40">
        <v>2020</v>
      </c>
      <c r="O1484" s="32">
        <f>VLOOKUP(Data!N1251, CPI!$A$2:$B$112, 2, 0)</f>
        <v>255.65700000000001</v>
      </c>
      <c r="P1484" s="32" t="s">
        <v>7</v>
      </c>
      <c r="Q1484" s="32" t="s">
        <v>239</v>
      </c>
      <c r="R1484" s="32" t="s">
        <v>2111</v>
      </c>
      <c r="S1484" s="32">
        <v>53700000</v>
      </c>
      <c r="T1484" s="32" t="s">
        <v>1487</v>
      </c>
      <c r="U1484" s="32">
        <v>53700000</v>
      </c>
      <c r="V1484" s="32" t="s">
        <v>1487</v>
      </c>
      <c r="W1484" s="32">
        <f>VLOOKUP(N1484, 'Exchange rate- Vietnam'!$A$2:$B$65, 2, 0)</f>
        <v>23208.368333333299</v>
      </c>
      <c r="X1484" s="32">
        <f t="shared" si="96"/>
        <v>2313.8205680264359</v>
      </c>
      <c r="Y1484" s="32">
        <f>(CPI!$B$112/O1484)*X1484</f>
        <v>2757.4732189983006</v>
      </c>
      <c r="Z1484" s="38" t="s">
        <v>1609</v>
      </c>
      <c r="AA1484" s="35" t="s">
        <v>1412</v>
      </c>
      <c r="AB1484" s="32">
        <f>4.6*13</f>
        <v>59.8</v>
      </c>
      <c r="AC1484" s="32" t="s">
        <v>2118</v>
      </c>
      <c r="AH1484" s="32" t="s">
        <v>411</v>
      </c>
      <c r="AK1484" s="40" t="s">
        <v>2119</v>
      </c>
      <c r="AL1484" s="32">
        <v>2022</v>
      </c>
      <c r="AM1484" s="32" t="s">
        <v>2130</v>
      </c>
      <c r="AN1484" s="32" t="s">
        <v>2120</v>
      </c>
      <c r="AO1484" s="38" t="s">
        <v>2121</v>
      </c>
      <c r="AP1484" s="35" t="s">
        <v>396</v>
      </c>
    </row>
    <row r="1485" spans="1:42" x14ac:dyDescent="0.2">
      <c r="A1485" s="40">
        <v>148</v>
      </c>
      <c r="B1485" s="40">
        <v>1484</v>
      </c>
      <c r="C1485" s="40" t="s">
        <v>149</v>
      </c>
      <c r="D1485" s="38" t="s">
        <v>148</v>
      </c>
      <c r="E1485" s="32" t="s">
        <v>2183</v>
      </c>
      <c r="F1485" s="32" t="s">
        <v>237</v>
      </c>
      <c r="G1485" s="38" t="s">
        <v>154</v>
      </c>
      <c r="H1485" s="32" t="s">
        <v>151</v>
      </c>
      <c r="I1485" s="32" t="s">
        <v>243</v>
      </c>
      <c r="J1485" s="32" t="s">
        <v>2117</v>
      </c>
      <c r="K1485" s="32" t="s">
        <v>1513</v>
      </c>
      <c r="L1485" s="32" t="s">
        <v>30</v>
      </c>
      <c r="M1485" s="32" t="s">
        <v>30</v>
      </c>
      <c r="N1485" s="40">
        <v>2020</v>
      </c>
      <c r="O1485" s="32">
        <f>VLOOKUP(Data!N1252, CPI!$A$2:$B$112, 2, 0)</f>
        <v>232.95699999999999</v>
      </c>
      <c r="P1485" s="32" t="s">
        <v>7</v>
      </c>
      <c r="Q1485" s="32" t="s">
        <v>239</v>
      </c>
      <c r="R1485" s="32" t="s">
        <v>2115</v>
      </c>
      <c r="S1485" s="32">
        <v>43800000</v>
      </c>
      <c r="T1485" s="32" t="s">
        <v>1487</v>
      </c>
      <c r="U1485" s="32">
        <v>43800000</v>
      </c>
      <c r="V1485" s="32" t="s">
        <v>1487</v>
      </c>
      <c r="W1485" s="32">
        <f>VLOOKUP(N1485, 'Exchange rate- Vietnam'!$A$2:$B$65, 2, 0)</f>
        <v>23208.368333333299</v>
      </c>
      <c r="X1485" s="32">
        <f t="shared" si="96"/>
        <v>1887.2502957087131</v>
      </c>
      <c r="Y1485" s="32">
        <f>(CPI!$B$112/O1485)*X1485</f>
        <v>2468.2721984446471</v>
      </c>
      <c r="Z1485" s="38" t="s">
        <v>1609</v>
      </c>
      <c r="AA1485" s="35" t="s">
        <v>1412</v>
      </c>
      <c r="AB1485" s="32">
        <f>5.5*11</f>
        <v>60.5</v>
      </c>
      <c r="AC1485" s="32" t="s">
        <v>2118</v>
      </c>
      <c r="AH1485" s="32" t="s">
        <v>411</v>
      </c>
      <c r="AK1485" s="40" t="s">
        <v>2119</v>
      </c>
      <c r="AL1485" s="32">
        <v>2022</v>
      </c>
      <c r="AM1485" s="32" t="s">
        <v>2130</v>
      </c>
      <c r="AN1485" s="32" t="s">
        <v>2120</v>
      </c>
      <c r="AO1485" s="38" t="s">
        <v>2121</v>
      </c>
      <c r="AP1485" s="35" t="s">
        <v>396</v>
      </c>
    </row>
    <row r="1486" spans="1:42" x14ac:dyDescent="0.2">
      <c r="A1486" s="40">
        <v>148</v>
      </c>
      <c r="B1486" s="40">
        <v>1485</v>
      </c>
      <c r="C1486" s="40" t="s">
        <v>149</v>
      </c>
      <c r="D1486" s="38" t="s">
        <v>148</v>
      </c>
      <c r="E1486" s="32" t="s">
        <v>2183</v>
      </c>
      <c r="F1486" s="32" t="s">
        <v>237</v>
      </c>
      <c r="G1486" s="38" t="s">
        <v>154</v>
      </c>
      <c r="H1486" s="32" t="s">
        <v>151</v>
      </c>
      <c r="I1486" s="32" t="s">
        <v>243</v>
      </c>
      <c r="J1486" s="32" t="s">
        <v>2117</v>
      </c>
      <c r="K1486" s="32" t="s">
        <v>1513</v>
      </c>
      <c r="L1486" s="32" t="s">
        <v>30</v>
      </c>
      <c r="M1486" s="32" t="s">
        <v>30</v>
      </c>
      <c r="N1486" s="40">
        <v>2020</v>
      </c>
      <c r="O1486" s="32">
        <f>VLOOKUP(Data!N1253, CPI!$A$2:$B$112, 2, 0)</f>
        <v>236.73599999999999</v>
      </c>
      <c r="P1486" s="32" t="s">
        <v>7</v>
      </c>
      <c r="Q1486" s="32" t="s">
        <v>239</v>
      </c>
      <c r="R1486" s="32" t="s">
        <v>2112</v>
      </c>
      <c r="S1486" s="32">
        <v>37000000</v>
      </c>
      <c r="T1486" s="32" t="s">
        <v>1487</v>
      </c>
      <c r="U1486" s="32">
        <v>37000000</v>
      </c>
      <c r="V1486" s="32" t="s">
        <v>1487</v>
      </c>
      <c r="W1486" s="32">
        <f>VLOOKUP(N1486, 'Exchange rate- Vietnam'!$A$2:$B$65, 2, 0)</f>
        <v>23208.368333333299</v>
      </c>
      <c r="X1486" s="32">
        <f t="shared" si="96"/>
        <v>1594.2525329046207</v>
      </c>
      <c r="Y1486" s="32">
        <f>(CPI!$B$112/O1486)*X1486</f>
        <v>2051.7862953021422</v>
      </c>
      <c r="Z1486" s="38" t="s">
        <v>1609</v>
      </c>
      <c r="AA1486" s="35" t="s">
        <v>1412</v>
      </c>
      <c r="AB1486" s="32">
        <f>4.9*12</f>
        <v>58.800000000000004</v>
      </c>
      <c r="AC1486" s="32" t="s">
        <v>2118</v>
      </c>
      <c r="AH1486" s="32" t="s">
        <v>411</v>
      </c>
      <c r="AK1486" s="40" t="s">
        <v>2119</v>
      </c>
      <c r="AL1486" s="32">
        <v>2022</v>
      </c>
      <c r="AM1486" s="32" t="s">
        <v>2130</v>
      </c>
      <c r="AN1486" s="32" t="s">
        <v>2120</v>
      </c>
      <c r="AO1486" s="38" t="s">
        <v>2121</v>
      </c>
      <c r="AP1486" s="35" t="s">
        <v>396</v>
      </c>
    </row>
    <row r="1487" spans="1:42" x14ac:dyDescent="0.2">
      <c r="A1487" s="40">
        <v>148</v>
      </c>
      <c r="B1487" s="40">
        <v>1486</v>
      </c>
      <c r="C1487" s="40" t="s">
        <v>149</v>
      </c>
      <c r="D1487" s="38" t="s">
        <v>148</v>
      </c>
      <c r="E1487" s="32" t="s">
        <v>2183</v>
      </c>
      <c r="F1487" s="32" t="s">
        <v>237</v>
      </c>
      <c r="G1487" s="38" t="s">
        <v>154</v>
      </c>
      <c r="H1487" s="32" t="s">
        <v>151</v>
      </c>
      <c r="I1487" s="32" t="s">
        <v>243</v>
      </c>
      <c r="J1487" s="32" t="s">
        <v>2117</v>
      </c>
      <c r="K1487" s="32" t="s">
        <v>1513</v>
      </c>
      <c r="L1487" s="32" t="s">
        <v>30</v>
      </c>
      <c r="M1487" s="32" t="s">
        <v>30</v>
      </c>
      <c r="N1487" s="40">
        <v>2020</v>
      </c>
      <c r="O1487" s="32">
        <f>VLOOKUP(Data!N1254, CPI!$A$2:$B$112, 2, 0)</f>
        <v>218.05600000000001</v>
      </c>
      <c r="P1487" s="32" t="s">
        <v>7</v>
      </c>
      <c r="Q1487" s="32" t="s">
        <v>239</v>
      </c>
      <c r="R1487" s="32" t="s">
        <v>2113</v>
      </c>
      <c r="S1487" s="32">
        <v>25800000</v>
      </c>
      <c r="T1487" s="32" t="s">
        <v>1487</v>
      </c>
      <c r="U1487" s="32">
        <v>25800000</v>
      </c>
      <c r="V1487" s="32" t="s">
        <v>1487</v>
      </c>
      <c r="W1487" s="32">
        <f>VLOOKUP(N1487, 'Exchange rate- Vietnam'!$A$2:$B$65, 2, 0)</f>
        <v>23208.368333333299</v>
      </c>
      <c r="X1487" s="32">
        <f t="shared" si="96"/>
        <v>1111.6679824037624</v>
      </c>
      <c r="Y1487" s="32">
        <f>(CPI!$B$112/O1487)*X1487</f>
        <v>1553.2679126363664</v>
      </c>
      <c r="Z1487" s="38" t="s">
        <v>1609</v>
      </c>
      <c r="AA1487" s="35" t="s">
        <v>1412</v>
      </c>
      <c r="AB1487" s="32">
        <f>4.7*10</f>
        <v>47</v>
      </c>
      <c r="AC1487" s="32" t="s">
        <v>2118</v>
      </c>
      <c r="AH1487" s="32" t="s">
        <v>411</v>
      </c>
      <c r="AK1487" s="40" t="s">
        <v>2119</v>
      </c>
      <c r="AL1487" s="32">
        <v>2022</v>
      </c>
      <c r="AM1487" s="32" t="s">
        <v>2130</v>
      </c>
      <c r="AN1487" s="32" t="s">
        <v>2120</v>
      </c>
      <c r="AO1487" s="38" t="s">
        <v>2121</v>
      </c>
      <c r="AP1487" s="35" t="s">
        <v>396</v>
      </c>
    </row>
    <row r="1488" spans="1:42" x14ac:dyDescent="0.2">
      <c r="A1488" s="40">
        <v>148</v>
      </c>
      <c r="B1488" s="40">
        <v>1487</v>
      </c>
      <c r="C1488" s="40" t="s">
        <v>149</v>
      </c>
      <c r="D1488" s="38" t="s">
        <v>148</v>
      </c>
      <c r="E1488" s="32" t="s">
        <v>2183</v>
      </c>
      <c r="F1488" s="32" t="s">
        <v>237</v>
      </c>
      <c r="G1488" s="38" t="s">
        <v>154</v>
      </c>
      <c r="H1488" s="32" t="s">
        <v>151</v>
      </c>
      <c r="I1488" s="32" t="s">
        <v>243</v>
      </c>
      <c r="J1488" s="32" t="s">
        <v>2117</v>
      </c>
      <c r="K1488" s="32" t="s">
        <v>1513</v>
      </c>
      <c r="L1488" s="32" t="s">
        <v>30</v>
      </c>
      <c r="M1488" s="32" t="s">
        <v>30</v>
      </c>
      <c r="N1488" s="40">
        <v>2020</v>
      </c>
      <c r="O1488" s="32">
        <f>VLOOKUP(Data!N1255, CPI!$A$2:$B$112, 2, 0)</f>
        <v>218.05600000000001</v>
      </c>
      <c r="P1488" s="32" t="s">
        <v>7</v>
      </c>
      <c r="Q1488" s="32" t="s">
        <v>239</v>
      </c>
      <c r="R1488" s="32" t="s">
        <v>2114</v>
      </c>
      <c r="S1488" s="32">
        <v>39000000</v>
      </c>
      <c r="T1488" s="32" t="s">
        <v>1487</v>
      </c>
      <c r="U1488" s="32">
        <v>39000000</v>
      </c>
      <c r="V1488" s="32" t="s">
        <v>1487</v>
      </c>
      <c r="W1488" s="32">
        <f>VLOOKUP(N1488, 'Exchange rate- Vietnam'!$A$2:$B$65, 2, 0)</f>
        <v>23208.368333333299</v>
      </c>
      <c r="X1488" s="32">
        <f t="shared" si="96"/>
        <v>1680.4283454940596</v>
      </c>
      <c r="Y1488" s="32">
        <f>(CPI!$B$112/O1488)*X1488</f>
        <v>2347.9631237526473</v>
      </c>
      <c r="Z1488" s="38" t="s">
        <v>1609</v>
      </c>
      <c r="AA1488" s="35" t="s">
        <v>1412</v>
      </c>
      <c r="AB1488" s="32">
        <f>4.6*13</f>
        <v>59.8</v>
      </c>
      <c r="AC1488" s="32" t="s">
        <v>2118</v>
      </c>
      <c r="AH1488" s="32" t="s">
        <v>411</v>
      </c>
      <c r="AK1488" s="40" t="s">
        <v>2119</v>
      </c>
      <c r="AL1488" s="32">
        <v>2022</v>
      </c>
      <c r="AM1488" s="32" t="s">
        <v>2130</v>
      </c>
      <c r="AN1488" s="32" t="s">
        <v>2120</v>
      </c>
      <c r="AO1488" s="38" t="s">
        <v>2121</v>
      </c>
      <c r="AP1488" s="35" t="s">
        <v>396</v>
      </c>
    </row>
    <row r="1489" spans="1:42" x14ac:dyDescent="0.2">
      <c r="A1489" s="40">
        <v>148</v>
      </c>
      <c r="B1489" s="40">
        <v>1488</v>
      </c>
      <c r="C1489" s="40" t="s">
        <v>149</v>
      </c>
      <c r="D1489" s="38" t="s">
        <v>148</v>
      </c>
      <c r="E1489" s="32" t="s">
        <v>2183</v>
      </c>
      <c r="F1489" s="32" t="s">
        <v>237</v>
      </c>
      <c r="G1489" s="38" t="s">
        <v>154</v>
      </c>
      <c r="H1489" s="32" t="s">
        <v>151</v>
      </c>
      <c r="I1489" s="32" t="s">
        <v>243</v>
      </c>
      <c r="J1489" s="32" t="s">
        <v>2117</v>
      </c>
      <c r="K1489" s="32" t="s">
        <v>1513</v>
      </c>
      <c r="L1489" s="32" t="s">
        <v>30</v>
      </c>
      <c r="M1489" s="32" t="s">
        <v>30</v>
      </c>
      <c r="N1489" s="40">
        <v>2020</v>
      </c>
      <c r="O1489" s="32">
        <f>VLOOKUP(Data!N1256, CPI!$A$2:$B$112, 2, 0)</f>
        <v>237.017</v>
      </c>
      <c r="P1489" s="32" t="s">
        <v>7</v>
      </c>
      <c r="Q1489" s="32" t="s">
        <v>239</v>
      </c>
      <c r="R1489" s="32" t="s">
        <v>2116</v>
      </c>
      <c r="S1489" s="32">
        <v>14800000</v>
      </c>
      <c r="T1489" s="32" t="s">
        <v>1487</v>
      </c>
      <c r="U1489" s="32">
        <v>14800000</v>
      </c>
      <c r="V1489" s="32" t="s">
        <v>1487</v>
      </c>
      <c r="W1489" s="32">
        <f>VLOOKUP(N1489, 'Exchange rate- Vietnam'!$A$2:$B$65, 2, 0)</f>
        <v>23208.368333333299</v>
      </c>
      <c r="X1489" s="32">
        <f t="shared" si="96"/>
        <v>637.70101316184821</v>
      </c>
      <c r="Y1489" s="32">
        <f>(CPI!$B$112/O1489)*X1489</f>
        <v>819.7415044568919</v>
      </c>
      <c r="Z1489" s="38" t="s">
        <v>1609</v>
      </c>
      <c r="AA1489" s="35" t="s">
        <v>1412</v>
      </c>
      <c r="AB1489" s="32">
        <f>5.5*11</f>
        <v>60.5</v>
      </c>
      <c r="AC1489" s="32" t="s">
        <v>2118</v>
      </c>
      <c r="AH1489" s="32" t="s">
        <v>411</v>
      </c>
      <c r="AK1489" s="40" t="s">
        <v>2119</v>
      </c>
      <c r="AL1489" s="32">
        <v>2022</v>
      </c>
      <c r="AM1489" s="32" t="s">
        <v>2130</v>
      </c>
      <c r="AN1489" s="32" t="s">
        <v>2120</v>
      </c>
      <c r="AO1489" s="38" t="s">
        <v>2121</v>
      </c>
      <c r="AP1489" s="35" t="s">
        <v>396</v>
      </c>
    </row>
    <row r="1490" spans="1:42" x14ac:dyDescent="0.2">
      <c r="A1490" s="40">
        <v>149</v>
      </c>
      <c r="B1490" s="40">
        <v>1489</v>
      </c>
      <c r="C1490" s="40" t="s">
        <v>119</v>
      </c>
      <c r="D1490" s="38" t="s">
        <v>128</v>
      </c>
      <c r="E1490" s="32" t="s">
        <v>2186</v>
      </c>
      <c r="F1490" s="32" t="s">
        <v>29</v>
      </c>
      <c r="G1490" s="38" t="s">
        <v>29</v>
      </c>
      <c r="H1490" s="32" t="s">
        <v>242</v>
      </c>
      <c r="I1490" s="32" t="s">
        <v>243</v>
      </c>
      <c r="J1490" s="32" t="s">
        <v>2122</v>
      </c>
      <c r="K1490" s="32" t="s">
        <v>1513</v>
      </c>
      <c r="L1490" s="32" t="s">
        <v>30</v>
      </c>
      <c r="M1490" s="32" t="s">
        <v>30</v>
      </c>
      <c r="N1490" s="40">
        <v>2018</v>
      </c>
      <c r="O1490" s="32">
        <f>VLOOKUP(Data!N1257, CPI!$A$2:$B$112, 2, 0)</f>
        <v>237.017</v>
      </c>
      <c r="P1490" s="32" t="s">
        <v>56</v>
      </c>
      <c r="Q1490" s="32" t="s">
        <v>239</v>
      </c>
      <c r="R1490" s="32" t="s">
        <v>2126</v>
      </c>
      <c r="S1490" s="32">
        <v>7385000000</v>
      </c>
      <c r="T1490" s="32" t="s">
        <v>1385</v>
      </c>
      <c r="U1490" s="32">
        <f t="shared" ref="U1490:U1509" si="97">S1490/AB1490</f>
        <v>223368.21728873026</v>
      </c>
      <c r="V1490" s="32" t="s">
        <v>1487</v>
      </c>
      <c r="W1490" s="32">
        <f>VLOOKUP(N1490, 'Exchange rate- Vietnam'!$A$2:$B$65, 2, 0)</f>
        <v>22602.05</v>
      </c>
      <c r="X1490" s="32">
        <f t="shared" si="96"/>
        <v>9.8826530022157399</v>
      </c>
      <c r="Y1490" s="32">
        <f>(CPI!$B$112/O1490)*X1490</f>
        <v>12.703791703096549</v>
      </c>
      <c r="Z1490" s="38" t="s">
        <v>1609</v>
      </c>
      <c r="AA1490" s="35" t="s">
        <v>1445</v>
      </c>
      <c r="AB1490" s="32">
        <v>33062</v>
      </c>
      <c r="AC1490" s="32" t="s">
        <v>1425</v>
      </c>
      <c r="AH1490" s="32" t="s">
        <v>411</v>
      </c>
      <c r="AK1490" s="40" t="s">
        <v>2128</v>
      </c>
      <c r="AL1490" s="32">
        <v>2022</v>
      </c>
      <c r="AM1490" s="32" t="s">
        <v>2129</v>
      </c>
      <c r="AN1490" s="32" t="s">
        <v>2131</v>
      </c>
      <c r="AO1490" s="38" t="s">
        <v>2132</v>
      </c>
      <c r="AP1490" s="35" t="s">
        <v>396</v>
      </c>
    </row>
    <row r="1491" spans="1:42" x14ac:dyDescent="0.2">
      <c r="A1491" s="40">
        <v>149</v>
      </c>
      <c r="B1491" s="40">
        <v>1490</v>
      </c>
      <c r="C1491" s="40" t="s">
        <v>119</v>
      </c>
      <c r="D1491" s="38" t="s">
        <v>128</v>
      </c>
      <c r="E1491" s="32" t="s">
        <v>2186</v>
      </c>
      <c r="F1491" s="32" t="s">
        <v>29</v>
      </c>
      <c r="G1491" s="38" t="s">
        <v>29</v>
      </c>
      <c r="H1491" s="32" t="s">
        <v>242</v>
      </c>
      <c r="I1491" s="32" t="s">
        <v>243</v>
      </c>
      <c r="J1491" s="32" t="s">
        <v>2123</v>
      </c>
      <c r="K1491" s="32" t="s">
        <v>1513</v>
      </c>
      <c r="L1491" s="32" t="s">
        <v>30</v>
      </c>
      <c r="M1491" s="32" t="s">
        <v>30</v>
      </c>
      <c r="N1491" s="40">
        <v>2018</v>
      </c>
      <c r="O1491" s="32">
        <f>VLOOKUP(Data!N1258, CPI!$A$2:$B$112, 2, 0)</f>
        <v>251.107</v>
      </c>
      <c r="P1491" s="32" t="s">
        <v>56</v>
      </c>
      <c r="Q1491" s="32" t="s">
        <v>239</v>
      </c>
      <c r="R1491" s="32" t="s">
        <v>2126</v>
      </c>
      <c r="S1491" s="32">
        <v>10399000000</v>
      </c>
      <c r="T1491" s="32" t="s">
        <v>1385</v>
      </c>
      <c r="U1491" s="32">
        <f t="shared" si="97"/>
        <v>314530.27645030548</v>
      </c>
      <c r="V1491" s="32" t="s">
        <v>1487</v>
      </c>
      <c r="W1491" s="32">
        <f>VLOOKUP(N1491, 'Exchange rate- Vietnam'!$A$2:$B$65, 2, 0)</f>
        <v>22602.05</v>
      </c>
      <c r="X1491" s="32">
        <f t="shared" si="96"/>
        <v>13.916006576850572</v>
      </c>
      <c r="Y1491" s="32">
        <f>(CPI!$B$112/O1491)*X1491</f>
        <v>16.884768870694398</v>
      </c>
      <c r="Z1491" s="38" t="s">
        <v>1609</v>
      </c>
      <c r="AA1491" s="35" t="s">
        <v>1445</v>
      </c>
      <c r="AB1491" s="32">
        <v>33062</v>
      </c>
      <c r="AC1491" s="32" t="s">
        <v>1425</v>
      </c>
      <c r="AH1491" s="32" t="s">
        <v>411</v>
      </c>
      <c r="AK1491" s="40" t="s">
        <v>2128</v>
      </c>
      <c r="AL1491" s="32">
        <v>2022</v>
      </c>
      <c r="AM1491" s="32" t="s">
        <v>2129</v>
      </c>
      <c r="AN1491" s="32" t="s">
        <v>2131</v>
      </c>
      <c r="AO1491" s="38" t="s">
        <v>2132</v>
      </c>
      <c r="AP1491" s="35" t="s">
        <v>396</v>
      </c>
    </row>
    <row r="1492" spans="1:42" x14ac:dyDescent="0.2">
      <c r="A1492" s="40">
        <v>149</v>
      </c>
      <c r="B1492" s="40">
        <v>1491</v>
      </c>
      <c r="C1492" s="40" t="s">
        <v>119</v>
      </c>
      <c r="D1492" s="38" t="s">
        <v>128</v>
      </c>
      <c r="E1492" s="32" t="s">
        <v>2186</v>
      </c>
      <c r="F1492" s="32" t="s">
        <v>29</v>
      </c>
      <c r="G1492" s="38" t="s">
        <v>29</v>
      </c>
      <c r="H1492" s="32" t="s">
        <v>242</v>
      </c>
      <c r="I1492" s="32" t="s">
        <v>243</v>
      </c>
      <c r="J1492" s="32" t="s">
        <v>2124</v>
      </c>
      <c r="K1492" s="32" t="s">
        <v>1513</v>
      </c>
      <c r="L1492" s="32" t="s">
        <v>30</v>
      </c>
      <c r="M1492" s="32" t="s">
        <v>30</v>
      </c>
      <c r="N1492" s="40">
        <v>2018</v>
      </c>
      <c r="O1492" s="32">
        <f>VLOOKUP(Data!N1259, CPI!$A$2:$B$112, 2, 0)</f>
        <v>251.107</v>
      </c>
      <c r="P1492" s="32" t="s">
        <v>56</v>
      </c>
      <c r="Q1492" s="32" t="s">
        <v>239</v>
      </c>
      <c r="R1492" s="32" t="s">
        <v>2126</v>
      </c>
      <c r="S1492" s="32">
        <v>7982000000</v>
      </c>
      <c r="T1492" s="32" t="s">
        <v>1385</v>
      </c>
      <c r="U1492" s="32">
        <f t="shared" si="97"/>
        <v>241425.20113725727</v>
      </c>
      <c r="V1492" s="32" t="s">
        <v>1487</v>
      </c>
      <c r="W1492" s="32">
        <f>VLOOKUP(N1492, 'Exchange rate- Vietnam'!$A$2:$B$65, 2, 0)</f>
        <v>22602.05</v>
      </c>
      <c r="X1492" s="32">
        <f t="shared" si="96"/>
        <v>10.681562121013682</v>
      </c>
      <c r="Y1492" s="32">
        <f>(CPI!$B$112/O1492)*X1492</f>
        <v>12.960306291555217</v>
      </c>
      <c r="Z1492" s="38" t="s">
        <v>1609</v>
      </c>
      <c r="AA1492" s="35" t="s">
        <v>1445</v>
      </c>
      <c r="AB1492" s="32">
        <v>33062</v>
      </c>
      <c r="AC1492" s="32" t="s">
        <v>1425</v>
      </c>
      <c r="AH1492" s="32" t="s">
        <v>411</v>
      </c>
      <c r="AK1492" s="40" t="s">
        <v>2128</v>
      </c>
      <c r="AL1492" s="32">
        <v>2022</v>
      </c>
      <c r="AM1492" s="32" t="s">
        <v>2129</v>
      </c>
      <c r="AN1492" s="32" t="s">
        <v>2131</v>
      </c>
      <c r="AO1492" s="38" t="s">
        <v>2132</v>
      </c>
      <c r="AP1492" s="35" t="s">
        <v>396</v>
      </c>
    </row>
    <row r="1493" spans="1:42" x14ac:dyDescent="0.2">
      <c r="A1493" s="40">
        <v>149</v>
      </c>
      <c r="B1493" s="40">
        <v>1492</v>
      </c>
      <c r="C1493" s="40" t="s">
        <v>119</v>
      </c>
      <c r="D1493" s="38" t="s">
        <v>128</v>
      </c>
      <c r="E1493" s="32" t="s">
        <v>2186</v>
      </c>
      <c r="F1493" s="32" t="s">
        <v>29</v>
      </c>
      <c r="G1493" s="38" t="s">
        <v>29</v>
      </c>
      <c r="H1493" s="32" t="s">
        <v>242</v>
      </c>
      <c r="I1493" s="32" t="s">
        <v>243</v>
      </c>
      <c r="J1493" s="32" t="s">
        <v>2125</v>
      </c>
      <c r="K1493" s="32" t="s">
        <v>1513</v>
      </c>
      <c r="L1493" s="32" t="s">
        <v>30</v>
      </c>
      <c r="M1493" s="32" t="s">
        <v>30</v>
      </c>
      <c r="N1493" s="40">
        <v>2018</v>
      </c>
      <c r="O1493" s="32">
        <f>VLOOKUP(Data!N1260, CPI!$A$2:$B$112, 2, 0)</f>
        <v>251.107</v>
      </c>
      <c r="P1493" s="32" t="s">
        <v>56</v>
      </c>
      <c r="Q1493" s="32" t="s">
        <v>239</v>
      </c>
      <c r="R1493" s="32" t="s">
        <v>2127</v>
      </c>
      <c r="S1493" s="32">
        <v>663000000</v>
      </c>
      <c r="T1493" s="32" t="s">
        <v>1385</v>
      </c>
      <c r="U1493" s="32">
        <f t="shared" si="97"/>
        <v>20053.233319218438</v>
      </c>
      <c r="V1493" s="32" t="s">
        <v>1487</v>
      </c>
      <c r="W1493" s="32">
        <f>VLOOKUP(N1493, 'Exchange rate- Vietnam'!$A$2:$B$65, 2, 0)</f>
        <v>22602.05</v>
      </c>
      <c r="X1493" s="32">
        <f t="shared" si="96"/>
        <v>0.8872307299213319</v>
      </c>
      <c r="Y1493" s="32">
        <f>(CPI!$B$112/O1493)*X1493</f>
        <v>1.0765075258457917</v>
      </c>
      <c r="Z1493" s="38" t="s">
        <v>1609</v>
      </c>
      <c r="AA1493" s="35" t="s">
        <v>1445</v>
      </c>
      <c r="AB1493" s="32">
        <v>33062</v>
      </c>
      <c r="AC1493" s="32" t="s">
        <v>1425</v>
      </c>
      <c r="AH1493" s="32" t="s">
        <v>411</v>
      </c>
      <c r="AK1493" s="40" t="s">
        <v>2128</v>
      </c>
      <c r="AL1493" s="32">
        <v>2022</v>
      </c>
      <c r="AM1493" s="32" t="s">
        <v>2129</v>
      </c>
      <c r="AN1493" s="32" t="s">
        <v>2131</v>
      </c>
      <c r="AO1493" s="38" t="s">
        <v>2132</v>
      </c>
      <c r="AP1493" s="35" t="s">
        <v>396</v>
      </c>
    </row>
    <row r="1494" spans="1:42" x14ac:dyDescent="0.2">
      <c r="A1494" s="40">
        <v>149</v>
      </c>
      <c r="B1494" s="40">
        <v>1493</v>
      </c>
      <c r="C1494" s="40" t="s">
        <v>119</v>
      </c>
      <c r="D1494" s="38" t="s">
        <v>128</v>
      </c>
      <c r="E1494" s="32" t="s">
        <v>2186</v>
      </c>
      <c r="F1494" s="32" t="s">
        <v>29</v>
      </c>
      <c r="G1494" s="38" t="s">
        <v>29</v>
      </c>
      <c r="H1494" s="32" t="s">
        <v>242</v>
      </c>
      <c r="I1494" s="32" t="s">
        <v>243</v>
      </c>
      <c r="J1494" s="32" t="s">
        <v>2122</v>
      </c>
      <c r="K1494" s="32" t="s">
        <v>1513</v>
      </c>
      <c r="L1494" s="32" t="s">
        <v>30</v>
      </c>
      <c r="M1494" s="32" t="s">
        <v>30</v>
      </c>
      <c r="N1494" s="40">
        <v>2017</v>
      </c>
      <c r="O1494" s="32">
        <f>VLOOKUP(Data!N1261, CPI!$A$2:$B$112, 2, 0)</f>
        <v>251.107</v>
      </c>
      <c r="P1494" s="32" t="s">
        <v>56</v>
      </c>
      <c r="Q1494" s="32" t="s">
        <v>239</v>
      </c>
      <c r="R1494" s="32" t="s">
        <v>2126</v>
      </c>
      <c r="S1494" s="32">
        <v>8444000000</v>
      </c>
      <c r="T1494" s="32" t="s">
        <v>1385</v>
      </c>
      <c r="U1494" s="32">
        <f t="shared" si="97"/>
        <v>255398.94743209728</v>
      </c>
      <c r="V1494" s="32" t="s">
        <v>1487</v>
      </c>
      <c r="W1494" s="32">
        <f>VLOOKUP(N1494, 'Exchange rate- Vietnam'!$A$2:$B$65, 2, 0)</f>
        <v>22370.086666666699</v>
      </c>
      <c r="X1494" s="32">
        <f t="shared" si="96"/>
        <v>11.416985156908806</v>
      </c>
      <c r="Y1494" s="32">
        <f>(CPI!$B$112/O1494)*X1494</f>
        <v>13.852620326813732</v>
      </c>
      <c r="Z1494" s="38" t="s">
        <v>1609</v>
      </c>
      <c r="AA1494" s="35" t="s">
        <v>1445</v>
      </c>
      <c r="AB1494" s="32">
        <v>33062</v>
      </c>
      <c r="AC1494" s="32" t="s">
        <v>1425</v>
      </c>
      <c r="AH1494" s="32" t="s">
        <v>411</v>
      </c>
      <c r="AK1494" s="40" t="s">
        <v>2128</v>
      </c>
      <c r="AL1494" s="32">
        <v>2022</v>
      </c>
      <c r="AM1494" s="32" t="s">
        <v>2129</v>
      </c>
      <c r="AN1494" s="32" t="s">
        <v>2131</v>
      </c>
      <c r="AO1494" s="38" t="s">
        <v>2132</v>
      </c>
      <c r="AP1494" s="35" t="s">
        <v>396</v>
      </c>
    </row>
    <row r="1495" spans="1:42" x14ac:dyDescent="0.2">
      <c r="A1495" s="40">
        <v>149</v>
      </c>
      <c r="B1495" s="40">
        <v>1494</v>
      </c>
      <c r="C1495" s="40" t="s">
        <v>119</v>
      </c>
      <c r="D1495" s="38" t="s">
        <v>128</v>
      </c>
      <c r="E1495" s="32" t="s">
        <v>2186</v>
      </c>
      <c r="F1495" s="32" t="s">
        <v>29</v>
      </c>
      <c r="G1495" s="38" t="s">
        <v>29</v>
      </c>
      <c r="H1495" s="32" t="s">
        <v>242</v>
      </c>
      <c r="I1495" s="32" t="s">
        <v>243</v>
      </c>
      <c r="J1495" s="32" t="s">
        <v>2123</v>
      </c>
      <c r="K1495" s="32" t="s">
        <v>1513</v>
      </c>
      <c r="L1495" s="32" t="s">
        <v>30</v>
      </c>
      <c r="M1495" s="32" t="s">
        <v>30</v>
      </c>
      <c r="N1495" s="40">
        <v>2017</v>
      </c>
      <c r="O1495" s="32">
        <f>VLOOKUP(Data!N1262, CPI!$A$2:$B$112, 2, 0)</f>
        <v>251.107</v>
      </c>
      <c r="P1495" s="32" t="s">
        <v>56</v>
      </c>
      <c r="Q1495" s="32" t="s">
        <v>239</v>
      </c>
      <c r="R1495" s="32" t="s">
        <v>2126</v>
      </c>
      <c r="S1495" s="32">
        <v>6998000000</v>
      </c>
      <c r="T1495" s="32" t="s">
        <v>1385</v>
      </c>
      <c r="U1495" s="32">
        <f t="shared" si="97"/>
        <v>211662.93630149416</v>
      </c>
      <c r="V1495" s="32" t="s">
        <v>1487</v>
      </c>
      <c r="W1495" s="32">
        <f>VLOOKUP(N1495, 'Exchange rate- Vietnam'!$A$2:$B$65, 2, 0)</f>
        <v>22370.086666666699</v>
      </c>
      <c r="X1495" s="32">
        <f t="shared" si="96"/>
        <v>9.4618737716778565</v>
      </c>
      <c r="Y1495" s="32">
        <f>(CPI!$B$112/O1495)*X1495</f>
        <v>11.480416514334733</v>
      </c>
      <c r="Z1495" s="38" t="s">
        <v>1609</v>
      </c>
      <c r="AA1495" s="35" t="s">
        <v>1445</v>
      </c>
      <c r="AB1495" s="32">
        <v>33062</v>
      </c>
      <c r="AC1495" s="32" t="s">
        <v>1425</v>
      </c>
      <c r="AH1495" s="32" t="s">
        <v>411</v>
      </c>
      <c r="AK1495" s="40" t="s">
        <v>2128</v>
      </c>
      <c r="AL1495" s="32">
        <v>2022</v>
      </c>
      <c r="AM1495" s="32" t="s">
        <v>2129</v>
      </c>
      <c r="AN1495" s="32" t="s">
        <v>2131</v>
      </c>
      <c r="AO1495" s="38" t="s">
        <v>2132</v>
      </c>
      <c r="AP1495" s="35" t="s">
        <v>396</v>
      </c>
    </row>
    <row r="1496" spans="1:42" x14ac:dyDescent="0.2">
      <c r="A1496" s="40">
        <v>149</v>
      </c>
      <c r="B1496" s="40">
        <v>1495</v>
      </c>
      <c r="C1496" s="40" t="s">
        <v>119</v>
      </c>
      <c r="D1496" s="38" t="s">
        <v>128</v>
      </c>
      <c r="E1496" s="32" t="s">
        <v>2186</v>
      </c>
      <c r="F1496" s="32" t="s">
        <v>29</v>
      </c>
      <c r="G1496" s="38" t="s">
        <v>29</v>
      </c>
      <c r="H1496" s="32" t="s">
        <v>242</v>
      </c>
      <c r="I1496" s="32" t="s">
        <v>243</v>
      </c>
      <c r="J1496" s="32" t="s">
        <v>2124</v>
      </c>
      <c r="K1496" s="32" t="s">
        <v>1513</v>
      </c>
      <c r="L1496" s="32" t="s">
        <v>30</v>
      </c>
      <c r="M1496" s="32" t="s">
        <v>30</v>
      </c>
      <c r="N1496" s="40">
        <v>2017</v>
      </c>
      <c r="O1496" s="32">
        <f>VLOOKUP(Data!N1263, CPI!$A$2:$B$112, 2, 0)</f>
        <v>251.107</v>
      </c>
      <c r="P1496" s="32" t="s">
        <v>56</v>
      </c>
      <c r="Q1496" s="32" t="s">
        <v>239</v>
      </c>
      <c r="R1496" s="32" t="s">
        <v>2126</v>
      </c>
      <c r="S1496" s="32">
        <v>7544000000</v>
      </c>
      <c r="T1496" s="32" t="s">
        <v>1385</v>
      </c>
      <c r="U1496" s="32">
        <f t="shared" si="97"/>
        <v>228177.36374085053</v>
      </c>
      <c r="V1496" s="32" t="s">
        <v>1487</v>
      </c>
      <c r="W1496" s="32">
        <f>VLOOKUP(N1496, 'Exchange rate- Vietnam'!$A$2:$B$65, 2, 0)</f>
        <v>22370.086666666699</v>
      </c>
      <c r="X1496" s="32">
        <f t="shared" si="96"/>
        <v>10.200110850748464</v>
      </c>
      <c r="Y1496" s="32">
        <f>(CPI!$B$112/O1496)*X1496</f>
        <v>12.376144924855849</v>
      </c>
      <c r="Z1496" s="38" t="s">
        <v>1609</v>
      </c>
      <c r="AA1496" s="35" t="s">
        <v>1445</v>
      </c>
      <c r="AB1496" s="32">
        <v>33062</v>
      </c>
      <c r="AC1496" s="32" t="s">
        <v>1425</v>
      </c>
      <c r="AH1496" s="32" t="s">
        <v>411</v>
      </c>
      <c r="AK1496" s="40" t="s">
        <v>2128</v>
      </c>
      <c r="AL1496" s="32">
        <v>2022</v>
      </c>
      <c r="AM1496" s="32" t="s">
        <v>2129</v>
      </c>
      <c r="AN1496" s="32" t="s">
        <v>2131</v>
      </c>
      <c r="AO1496" s="38" t="s">
        <v>2132</v>
      </c>
      <c r="AP1496" s="35" t="s">
        <v>396</v>
      </c>
    </row>
    <row r="1497" spans="1:42" x14ac:dyDescent="0.2">
      <c r="A1497" s="40">
        <v>149</v>
      </c>
      <c r="B1497" s="40">
        <v>1496</v>
      </c>
      <c r="C1497" s="40" t="s">
        <v>119</v>
      </c>
      <c r="D1497" s="38" t="s">
        <v>128</v>
      </c>
      <c r="E1497" s="32" t="s">
        <v>2186</v>
      </c>
      <c r="F1497" s="32" t="s">
        <v>29</v>
      </c>
      <c r="G1497" s="38" t="s">
        <v>29</v>
      </c>
      <c r="H1497" s="32" t="s">
        <v>242</v>
      </c>
      <c r="I1497" s="32" t="s">
        <v>243</v>
      </c>
      <c r="J1497" s="32" t="s">
        <v>2125</v>
      </c>
      <c r="K1497" s="32" t="s">
        <v>1513</v>
      </c>
      <c r="L1497" s="32" t="s">
        <v>30</v>
      </c>
      <c r="M1497" s="32" t="s">
        <v>30</v>
      </c>
      <c r="N1497" s="40">
        <v>2017</v>
      </c>
      <c r="O1497" s="32">
        <f>VLOOKUP(Data!N1264, CPI!$A$2:$B$112, 2, 0)</f>
        <v>251.107</v>
      </c>
      <c r="P1497" s="32" t="s">
        <v>56</v>
      </c>
      <c r="Q1497" s="32" t="s">
        <v>239</v>
      </c>
      <c r="R1497" s="32" t="s">
        <v>2127</v>
      </c>
      <c r="S1497" s="32">
        <v>106000000</v>
      </c>
      <c r="T1497" s="32" t="s">
        <v>1385</v>
      </c>
      <c r="U1497" s="32">
        <f t="shared" si="97"/>
        <v>3206.097634746839</v>
      </c>
      <c r="V1497" s="32" t="s">
        <v>1487</v>
      </c>
      <c r="W1497" s="32">
        <f>VLOOKUP(N1497, 'Exchange rate- Vietnam'!$A$2:$B$65, 2, 0)</f>
        <v>22370.086666666699</v>
      </c>
      <c r="X1497" s="32">
        <f t="shared" si="96"/>
        <v>0.14332075161444022</v>
      </c>
      <c r="Y1497" s="32">
        <f>(CPI!$B$112/O1497)*X1497</f>
        <v>0.17389599178615056</v>
      </c>
      <c r="Z1497" s="38" t="s">
        <v>1609</v>
      </c>
      <c r="AA1497" s="35" t="s">
        <v>1445</v>
      </c>
      <c r="AB1497" s="32">
        <v>33062</v>
      </c>
      <c r="AC1497" s="32" t="s">
        <v>1425</v>
      </c>
      <c r="AH1497" s="32" t="s">
        <v>411</v>
      </c>
      <c r="AK1497" s="40" t="s">
        <v>2128</v>
      </c>
      <c r="AL1497" s="32">
        <v>2022</v>
      </c>
      <c r="AM1497" s="32" t="s">
        <v>2129</v>
      </c>
      <c r="AN1497" s="32" t="s">
        <v>2131</v>
      </c>
      <c r="AO1497" s="38" t="s">
        <v>2132</v>
      </c>
      <c r="AP1497" s="35" t="s">
        <v>396</v>
      </c>
    </row>
    <row r="1498" spans="1:42" x14ac:dyDescent="0.2">
      <c r="A1498" s="40">
        <v>149</v>
      </c>
      <c r="B1498" s="40">
        <v>1497</v>
      </c>
      <c r="C1498" s="40" t="s">
        <v>119</v>
      </c>
      <c r="D1498" s="38" t="s">
        <v>128</v>
      </c>
      <c r="E1498" s="32" t="s">
        <v>2186</v>
      </c>
      <c r="F1498" s="32" t="s">
        <v>29</v>
      </c>
      <c r="G1498" s="38" t="s">
        <v>29</v>
      </c>
      <c r="H1498" s="32" t="s">
        <v>242</v>
      </c>
      <c r="I1498" s="32" t="s">
        <v>243</v>
      </c>
      <c r="J1498" s="32" t="s">
        <v>2122</v>
      </c>
      <c r="K1498" s="32" t="s">
        <v>1513</v>
      </c>
      <c r="L1498" s="32" t="s">
        <v>30</v>
      </c>
      <c r="M1498" s="32" t="s">
        <v>30</v>
      </c>
      <c r="N1498" s="40">
        <v>2016</v>
      </c>
      <c r="O1498" s="32">
        <f>VLOOKUP(Data!N1265, CPI!$A$2:$B$112, 2, 0)</f>
        <v>251.107</v>
      </c>
      <c r="P1498" s="32" t="s">
        <v>56</v>
      </c>
      <c r="Q1498" s="32" t="s">
        <v>239</v>
      </c>
      <c r="R1498" s="32" t="s">
        <v>2126</v>
      </c>
      <c r="S1498" s="32">
        <v>4036000000</v>
      </c>
      <c r="T1498" s="32" t="s">
        <v>1385</v>
      </c>
      <c r="U1498" s="32">
        <f t="shared" si="97"/>
        <v>122073.67975319097</v>
      </c>
      <c r="V1498" s="32" t="s">
        <v>1487</v>
      </c>
      <c r="W1498" s="32">
        <f>VLOOKUP(N1498, 'Exchange rate- Vietnam'!$A$2:$B$65, 2, 0)</f>
        <v>21935.000833333299</v>
      </c>
      <c r="X1498" s="32">
        <f t="shared" si="96"/>
        <v>5.5652461871659904</v>
      </c>
      <c r="Y1498" s="32">
        <f>(CPI!$B$112/O1498)*X1498</f>
        <v>6.7525043955589688</v>
      </c>
      <c r="Z1498" s="38" t="s">
        <v>1609</v>
      </c>
      <c r="AA1498" s="35" t="s">
        <v>1445</v>
      </c>
      <c r="AB1498" s="32">
        <v>33062</v>
      </c>
      <c r="AC1498" s="32" t="s">
        <v>1425</v>
      </c>
      <c r="AH1498" s="32" t="s">
        <v>411</v>
      </c>
      <c r="AK1498" s="40" t="s">
        <v>2128</v>
      </c>
      <c r="AL1498" s="32">
        <v>2022</v>
      </c>
      <c r="AM1498" s="32" t="s">
        <v>2129</v>
      </c>
      <c r="AN1498" s="32" t="s">
        <v>2131</v>
      </c>
      <c r="AO1498" s="38" t="s">
        <v>2132</v>
      </c>
      <c r="AP1498" s="35" t="s">
        <v>396</v>
      </c>
    </row>
    <row r="1499" spans="1:42" x14ac:dyDescent="0.2">
      <c r="A1499" s="40">
        <v>149</v>
      </c>
      <c r="B1499" s="40">
        <v>1498</v>
      </c>
      <c r="C1499" s="40" t="s">
        <v>119</v>
      </c>
      <c r="D1499" s="38" t="s">
        <v>128</v>
      </c>
      <c r="E1499" s="32" t="s">
        <v>2186</v>
      </c>
      <c r="F1499" s="32" t="s">
        <v>29</v>
      </c>
      <c r="G1499" s="38" t="s">
        <v>29</v>
      </c>
      <c r="H1499" s="32" t="s">
        <v>242</v>
      </c>
      <c r="I1499" s="32" t="s">
        <v>243</v>
      </c>
      <c r="J1499" s="32" t="s">
        <v>2123</v>
      </c>
      <c r="K1499" s="32" t="s">
        <v>1513</v>
      </c>
      <c r="L1499" s="32" t="s">
        <v>30</v>
      </c>
      <c r="M1499" s="32" t="s">
        <v>30</v>
      </c>
      <c r="N1499" s="40">
        <v>2016</v>
      </c>
      <c r="O1499" s="32">
        <f>VLOOKUP(Data!N1266, CPI!$A$2:$B$112, 2, 0)</f>
        <v>251.107</v>
      </c>
      <c r="P1499" s="32" t="s">
        <v>56</v>
      </c>
      <c r="Q1499" s="32" t="s">
        <v>239</v>
      </c>
      <c r="R1499" s="32" t="s">
        <v>2126</v>
      </c>
      <c r="S1499" s="32">
        <v>5421000000</v>
      </c>
      <c r="T1499" s="32" t="s">
        <v>1385</v>
      </c>
      <c r="U1499" s="32">
        <f t="shared" si="97"/>
        <v>163964.67243360958</v>
      </c>
      <c r="V1499" s="32" t="s">
        <v>1487</v>
      </c>
      <c r="W1499" s="32">
        <f>VLOOKUP(N1499, 'Exchange rate- Vietnam'!$A$2:$B$65, 2, 0)</f>
        <v>21935.000833333299</v>
      </c>
      <c r="X1499" s="32">
        <f t="shared" si="96"/>
        <v>7.4750246730988197</v>
      </c>
      <c r="Y1499" s="32">
        <f>(CPI!$B$112/O1499)*X1499</f>
        <v>9.0697042438863154</v>
      </c>
      <c r="Z1499" s="38" t="s">
        <v>1609</v>
      </c>
      <c r="AA1499" s="35" t="s">
        <v>1445</v>
      </c>
      <c r="AB1499" s="32">
        <v>33062</v>
      </c>
      <c r="AC1499" s="32" t="s">
        <v>1425</v>
      </c>
      <c r="AH1499" s="32" t="s">
        <v>411</v>
      </c>
      <c r="AK1499" s="40" t="s">
        <v>2128</v>
      </c>
      <c r="AL1499" s="32">
        <v>2022</v>
      </c>
      <c r="AM1499" s="32" t="s">
        <v>2129</v>
      </c>
      <c r="AN1499" s="32" t="s">
        <v>2131</v>
      </c>
      <c r="AO1499" s="38" t="s">
        <v>2132</v>
      </c>
      <c r="AP1499" s="35" t="s">
        <v>396</v>
      </c>
    </row>
    <row r="1500" spans="1:42" x14ac:dyDescent="0.2">
      <c r="A1500" s="40">
        <v>149</v>
      </c>
      <c r="B1500" s="40">
        <v>1499</v>
      </c>
      <c r="C1500" s="40" t="s">
        <v>119</v>
      </c>
      <c r="D1500" s="38" t="s">
        <v>128</v>
      </c>
      <c r="E1500" s="32" t="s">
        <v>2186</v>
      </c>
      <c r="F1500" s="32" t="s">
        <v>29</v>
      </c>
      <c r="G1500" s="38" t="s">
        <v>29</v>
      </c>
      <c r="H1500" s="32" t="s">
        <v>242</v>
      </c>
      <c r="I1500" s="32" t="s">
        <v>243</v>
      </c>
      <c r="J1500" s="32" t="s">
        <v>2124</v>
      </c>
      <c r="K1500" s="32" t="s">
        <v>1513</v>
      </c>
      <c r="L1500" s="32" t="s">
        <v>30</v>
      </c>
      <c r="M1500" s="32" t="s">
        <v>30</v>
      </c>
      <c r="N1500" s="40">
        <v>2016</v>
      </c>
      <c r="O1500" s="32">
        <f>VLOOKUP(Data!N1267, CPI!$A$2:$B$112, 2, 0)</f>
        <v>251.107</v>
      </c>
      <c r="P1500" s="32" t="s">
        <v>56</v>
      </c>
      <c r="Q1500" s="32" t="s">
        <v>239</v>
      </c>
      <c r="R1500" s="32" t="s">
        <v>2126</v>
      </c>
      <c r="S1500" s="32">
        <v>0</v>
      </c>
      <c r="T1500" s="32" t="s">
        <v>1385</v>
      </c>
      <c r="U1500" s="32">
        <f t="shared" si="97"/>
        <v>0</v>
      </c>
      <c r="V1500" s="32" t="s">
        <v>1487</v>
      </c>
      <c r="W1500" s="32">
        <f>VLOOKUP(N1500, 'Exchange rate- Vietnam'!$A$2:$B$65, 2, 0)</f>
        <v>21935.000833333299</v>
      </c>
      <c r="X1500" s="32">
        <f t="shared" si="96"/>
        <v>0</v>
      </c>
      <c r="Y1500" s="32">
        <f>(CPI!$B$112/O1500)*X1500</f>
        <v>0</v>
      </c>
      <c r="Z1500" s="38" t="s">
        <v>1609</v>
      </c>
      <c r="AA1500" s="35" t="s">
        <v>1445</v>
      </c>
      <c r="AB1500" s="32">
        <v>33062</v>
      </c>
      <c r="AC1500" s="32" t="s">
        <v>1425</v>
      </c>
      <c r="AH1500" s="32" t="s">
        <v>411</v>
      </c>
      <c r="AK1500" s="40" t="s">
        <v>2128</v>
      </c>
      <c r="AL1500" s="32">
        <v>2022</v>
      </c>
      <c r="AM1500" s="32" t="s">
        <v>2129</v>
      </c>
      <c r="AN1500" s="32" t="s">
        <v>2131</v>
      </c>
      <c r="AO1500" s="38" t="s">
        <v>2132</v>
      </c>
      <c r="AP1500" s="35" t="s">
        <v>396</v>
      </c>
    </row>
    <row r="1501" spans="1:42" x14ac:dyDescent="0.2">
      <c r="A1501" s="40">
        <v>149</v>
      </c>
      <c r="B1501" s="40">
        <v>1500</v>
      </c>
      <c r="C1501" s="40" t="s">
        <v>119</v>
      </c>
      <c r="D1501" s="38" t="s">
        <v>128</v>
      </c>
      <c r="E1501" s="32" t="s">
        <v>2186</v>
      </c>
      <c r="F1501" s="32" t="s">
        <v>29</v>
      </c>
      <c r="G1501" s="38" t="s">
        <v>29</v>
      </c>
      <c r="H1501" s="32" t="s">
        <v>242</v>
      </c>
      <c r="I1501" s="32" t="s">
        <v>243</v>
      </c>
      <c r="J1501" s="32" t="s">
        <v>2125</v>
      </c>
      <c r="K1501" s="32" t="s">
        <v>1513</v>
      </c>
      <c r="L1501" s="32" t="s">
        <v>30</v>
      </c>
      <c r="M1501" s="32" t="s">
        <v>30</v>
      </c>
      <c r="N1501" s="40">
        <v>2016</v>
      </c>
      <c r="O1501" s="32">
        <f>VLOOKUP(Data!N1268, CPI!$A$2:$B$112, 2, 0)</f>
        <v>251.107</v>
      </c>
      <c r="P1501" s="32" t="s">
        <v>56</v>
      </c>
      <c r="Q1501" s="32" t="s">
        <v>239</v>
      </c>
      <c r="R1501" s="32" t="s">
        <v>2127</v>
      </c>
      <c r="S1501" s="32">
        <v>78000000</v>
      </c>
      <c r="T1501" s="32" t="s">
        <v>1385</v>
      </c>
      <c r="U1501" s="32">
        <f t="shared" si="97"/>
        <v>2359.2039199080514</v>
      </c>
      <c r="V1501" s="32" t="s">
        <v>1487</v>
      </c>
      <c r="W1501" s="32">
        <f>VLOOKUP(N1501, 'Exchange rate- Vietnam'!$A$2:$B$65, 2, 0)</f>
        <v>21935.000833333299</v>
      </c>
      <c r="X1501" s="32">
        <f t="shared" si="96"/>
        <v>0.10755431184314848</v>
      </c>
      <c r="Y1501" s="32">
        <f>(CPI!$B$112/O1501)*X1501</f>
        <v>0.13049934163865204</v>
      </c>
      <c r="Z1501" s="38" t="s">
        <v>1609</v>
      </c>
      <c r="AA1501" s="35" t="s">
        <v>1445</v>
      </c>
      <c r="AB1501" s="32">
        <v>33062</v>
      </c>
      <c r="AC1501" s="32" t="s">
        <v>1425</v>
      </c>
      <c r="AH1501" s="32" t="s">
        <v>411</v>
      </c>
      <c r="AK1501" s="40" t="s">
        <v>2128</v>
      </c>
      <c r="AL1501" s="32">
        <v>2022</v>
      </c>
      <c r="AM1501" s="32" t="s">
        <v>2129</v>
      </c>
      <c r="AN1501" s="32" t="s">
        <v>2131</v>
      </c>
      <c r="AO1501" s="38" t="s">
        <v>2132</v>
      </c>
      <c r="AP1501" s="35" t="s">
        <v>396</v>
      </c>
    </row>
    <row r="1502" spans="1:42" x14ac:dyDescent="0.2">
      <c r="A1502" s="40">
        <v>149</v>
      </c>
      <c r="B1502" s="40">
        <v>1501</v>
      </c>
      <c r="C1502" s="40" t="s">
        <v>119</v>
      </c>
      <c r="D1502" s="38" t="s">
        <v>128</v>
      </c>
      <c r="E1502" s="32" t="s">
        <v>2186</v>
      </c>
      <c r="F1502" s="32" t="s">
        <v>29</v>
      </c>
      <c r="G1502" s="38" t="s">
        <v>29</v>
      </c>
      <c r="H1502" s="32" t="s">
        <v>242</v>
      </c>
      <c r="I1502" s="32" t="s">
        <v>243</v>
      </c>
      <c r="J1502" s="32" t="s">
        <v>2122</v>
      </c>
      <c r="K1502" s="32" t="s">
        <v>1513</v>
      </c>
      <c r="L1502" s="32" t="s">
        <v>30</v>
      </c>
      <c r="M1502" s="32" t="s">
        <v>30</v>
      </c>
      <c r="N1502" s="40">
        <v>2015</v>
      </c>
      <c r="O1502" s="32">
        <f>VLOOKUP(Data!N1269, CPI!$A$2:$B$112, 2, 0)</f>
        <v>251.107</v>
      </c>
      <c r="P1502" s="32" t="s">
        <v>56</v>
      </c>
      <c r="Q1502" s="32" t="s">
        <v>239</v>
      </c>
      <c r="R1502" s="32" t="s">
        <v>2126</v>
      </c>
      <c r="S1502" s="32">
        <v>3832000000</v>
      </c>
      <c r="T1502" s="32" t="s">
        <v>1385</v>
      </c>
      <c r="U1502" s="32">
        <f t="shared" si="97"/>
        <v>115903.45411650838</v>
      </c>
      <c r="V1502" s="32" t="s">
        <v>1487</v>
      </c>
      <c r="W1502" s="32">
        <f>VLOOKUP(N1502, 'Exchange rate- Vietnam'!$A$2:$B$65, 2, 0)</f>
        <v>21697.567500000001</v>
      </c>
      <c r="X1502" s="32">
        <f t="shared" si="96"/>
        <v>5.3417717961475804</v>
      </c>
      <c r="Y1502" s="32">
        <f>(CPI!$B$112/O1502)*X1502</f>
        <v>6.4813552393677103</v>
      </c>
      <c r="Z1502" s="38" t="s">
        <v>1609</v>
      </c>
      <c r="AA1502" s="35" t="s">
        <v>1445</v>
      </c>
      <c r="AB1502" s="32">
        <v>33062</v>
      </c>
      <c r="AC1502" s="32" t="s">
        <v>1425</v>
      </c>
      <c r="AH1502" s="32" t="s">
        <v>411</v>
      </c>
      <c r="AK1502" s="40" t="s">
        <v>2128</v>
      </c>
      <c r="AL1502" s="32">
        <v>2022</v>
      </c>
      <c r="AM1502" s="32" t="s">
        <v>2129</v>
      </c>
      <c r="AN1502" s="32" t="s">
        <v>2131</v>
      </c>
      <c r="AO1502" s="38" t="s">
        <v>2132</v>
      </c>
      <c r="AP1502" s="35" t="s">
        <v>396</v>
      </c>
    </row>
    <row r="1503" spans="1:42" x14ac:dyDescent="0.2">
      <c r="A1503" s="40">
        <v>149</v>
      </c>
      <c r="B1503" s="40">
        <v>1502</v>
      </c>
      <c r="C1503" s="40" t="s">
        <v>119</v>
      </c>
      <c r="D1503" s="38" t="s">
        <v>128</v>
      </c>
      <c r="E1503" s="32" t="s">
        <v>2186</v>
      </c>
      <c r="F1503" s="32" t="s">
        <v>29</v>
      </c>
      <c r="G1503" s="38" t="s">
        <v>29</v>
      </c>
      <c r="H1503" s="32" t="s">
        <v>242</v>
      </c>
      <c r="I1503" s="32" t="s">
        <v>243</v>
      </c>
      <c r="J1503" s="32" t="s">
        <v>2123</v>
      </c>
      <c r="K1503" s="32" t="s">
        <v>1513</v>
      </c>
      <c r="L1503" s="32" t="s">
        <v>30</v>
      </c>
      <c r="M1503" s="32" t="s">
        <v>30</v>
      </c>
      <c r="N1503" s="40">
        <v>2015</v>
      </c>
      <c r="O1503" s="32">
        <f>VLOOKUP(Data!N1270, CPI!$A$2:$B$112, 2, 0)</f>
        <v>251.107</v>
      </c>
      <c r="P1503" s="32" t="s">
        <v>56</v>
      </c>
      <c r="Q1503" s="32" t="s">
        <v>239</v>
      </c>
      <c r="R1503" s="32" t="s">
        <v>2126</v>
      </c>
      <c r="S1503" s="32">
        <v>4892000000</v>
      </c>
      <c r="T1503" s="32" t="s">
        <v>1385</v>
      </c>
      <c r="U1503" s="32">
        <f t="shared" si="97"/>
        <v>147964.43046397678</v>
      </c>
      <c r="V1503" s="32" t="s">
        <v>1487</v>
      </c>
      <c r="W1503" s="32">
        <f>VLOOKUP(N1503, 'Exchange rate- Vietnam'!$A$2:$B$65, 2, 0)</f>
        <v>21697.567500000001</v>
      </c>
      <c r="X1503" s="32">
        <f t="shared" si="96"/>
        <v>6.8194017815119956</v>
      </c>
      <c r="Y1503" s="32">
        <f>(CPI!$B$112/O1503)*X1503</f>
        <v>8.2742144652888427</v>
      </c>
      <c r="Z1503" s="38" t="s">
        <v>1609</v>
      </c>
      <c r="AA1503" s="35" t="s">
        <v>1445</v>
      </c>
      <c r="AB1503" s="32">
        <v>33062</v>
      </c>
      <c r="AC1503" s="32" t="s">
        <v>1425</v>
      </c>
      <c r="AH1503" s="32" t="s">
        <v>411</v>
      </c>
      <c r="AK1503" s="40" t="s">
        <v>2128</v>
      </c>
      <c r="AL1503" s="32">
        <v>2022</v>
      </c>
      <c r="AM1503" s="32" t="s">
        <v>2129</v>
      </c>
      <c r="AN1503" s="32" t="s">
        <v>2131</v>
      </c>
      <c r="AO1503" s="38" t="s">
        <v>2132</v>
      </c>
      <c r="AP1503" s="35" t="s">
        <v>396</v>
      </c>
    </row>
    <row r="1504" spans="1:42" x14ac:dyDescent="0.2">
      <c r="A1504" s="40">
        <v>149</v>
      </c>
      <c r="B1504" s="40">
        <v>1503</v>
      </c>
      <c r="C1504" s="40" t="s">
        <v>119</v>
      </c>
      <c r="D1504" s="38" t="s">
        <v>128</v>
      </c>
      <c r="E1504" s="32" t="s">
        <v>2186</v>
      </c>
      <c r="F1504" s="32" t="s">
        <v>29</v>
      </c>
      <c r="G1504" s="38" t="s">
        <v>29</v>
      </c>
      <c r="H1504" s="32" t="s">
        <v>242</v>
      </c>
      <c r="I1504" s="32" t="s">
        <v>243</v>
      </c>
      <c r="J1504" s="32" t="s">
        <v>2124</v>
      </c>
      <c r="K1504" s="32" t="s">
        <v>1513</v>
      </c>
      <c r="L1504" s="32" t="s">
        <v>30</v>
      </c>
      <c r="M1504" s="32" t="s">
        <v>30</v>
      </c>
      <c r="N1504" s="40">
        <v>2015</v>
      </c>
      <c r="O1504" s="32">
        <f>VLOOKUP(Data!N1271, CPI!$A$2:$B$112, 2, 0)</f>
        <v>251.107</v>
      </c>
      <c r="P1504" s="32" t="s">
        <v>56</v>
      </c>
      <c r="Q1504" s="32" t="s">
        <v>239</v>
      </c>
      <c r="R1504" s="32" t="s">
        <v>2126</v>
      </c>
      <c r="S1504" s="32">
        <v>0</v>
      </c>
      <c r="T1504" s="32" t="s">
        <v>1385</v>
      </c>
      <c r="U1504" s="32">
        <f t="shared" si="97"/>
        <v>0</v>
      </c>
      <c r="V1504" s="32" t="s">
        <v>1487</v>
      </c>
      <c r="W1504" s="32">
        <f>VLOOKUP(N1504, 'Exchange rate- Vietnam'!$A$2:$B$65, 2, 0)</f>
        <v>21697.567500000001</v>
      </c>
      <c r="X1504" s="32">
        <f t="shared" si="96"/>
        <v>0</v>
      </c>
      <c r="Y1504" s="32">
        <f>(CPI!$B$112/O1504)*X1504</f>
        <v>0</v>
      </c>
      <c r="Z1504" s="38" t="s">
        <v>1609</v>
      </c>
      <c r="AA1504" s="35" t="s">
        <v>1445</v>
      </c>
      <c r="AB1504" s="32">
        <v>33062</v>
      </c>
      <c r="AC1504" s="32" t="s">
        <v>1425</v>
      </c>
      <c r="AH1504" s="32" t="s">
        <v>411</v>
      </c>
      <c r="AK1504" s="40" t="s">
        <v>2128</v>
      </c>
      <c r="AL1504" s="32">
        <v>2022</v>
      </c>
      <c r="AM1504" s="32" t="s">
        <v>2129</v>
      </c>
      <c r="AN1504" s="32" t="s">
        <v>2131</v>
      </c>
      <c r="AO1504" s="38" t="s">
        <v>2132</v>
      </c>
      <c r="AP1504" s="35" t="s">
        <v>396</v>
      </c>
    </row>
    <row r="1505" spans="1:42" x14ac:dyDescent="0.2">
      <c r="A1505" s="40">
        <v>149</v>
      </c>
      <c r="B1505" s="40">
        <v>1504</v>
      </c>
      <c r="C1505" s="40" t="s">
        <v>119</v>
      </c>
      <c r="D1505" s="38" t="s">
        <v>128</v>
      </c>
      <c r="E1505" s="32" t="s">
        <v>2186</v>
      </c>
      <c r="F1505" s="32" t="s">
        <v>29</v>
      </c>
      <c r="G1505" s="38" t="s">
        <v>29</v>
      </c>
      <c r="H1505" s="32" t="s">
        <v>242</v>
      </c>
      <c r="I1505" s="32" t="s">
        <v>243</v>
      </c>
      <c r="J1505" s="32" t="s">
        <v>2125</v>
      </c>
      <c r="K1505" s="32" t="s">
        <v>1513</v>
      </c>
      <c r="L1505" s="32" t="s">
        <v>30</v>
      </c>
      <c r="M1505" s="32" t="s">
        <v>30</v>
      </c>
      <c r="N1505" s="40">
        <v>2015</v>
      </c>
      <c r="O1505" s="32">
        <f>VLOOKUP(Data!N1272, CPI!$A$2:$B$112, 2, 0)</f>
        <v>251.107</v>
      </c>
      <c r="P1505" s="32" t="s">
        <v>56</v>
      </c>
      <c r="Q1505" s="32" t="s">
        <v>239</v>
      </c>
      <c r="R1505" s="32" t="s">
        <v>2127</v>
      </c>
      <c r="S1505" s="32">
        <v>54000000</v>
      </c>
      <c r="T1505" s="32" t="s">
        <v>1385</v>
      </c>
      <c r="U1505" s="32">
        <f t="shared" si="97"/>
        <v>1633.2950214748048</v>
      </c>
      <c r="V1505" s="32" t="s">
        <v>1487</v>
      </c>
      <c r="W1505" s="32">
        <f>VLOOKUP(N1505, 'Exchange rate- Vietnam'!$A$2:$B$65, 2, 0)</f>
        <v>21697.567500000001</v>
      </c>
      <c r="X1505" s="32">
        <f t="shared" si="96"/>
        <v>7.5275489820451291E-2</v>
      </c>
      <c r="Y1505" s="32">
        <f>(CPI!$B$112/O1505)*X1505</f>
        <v>9.1334337924284012E-2</v>
      </c>
      <c r="Z1505" s="38" t="s">
        <v>1609</v>
      </c>
      <c r="AA1505" s="35" t="s">
        <v>1445</v>
      </c>
      <c r="AB1505" s="32">
        <v>33062</v>
      </c>
      <c r="AC1505" s="32" t="s">
        <v>1425</v>
      </c>
      <c r="AH1505" s="32" t="s">
        <v>411</v>
      </c>
      <c r="AK1505" s="40" t="s">
        <v>2128</v>
      </c>
      <c r="AL1505" s="32">
        <v>2022</v>
      </c>
      <c r="AM1505" s="32" t="s">
        <v>2129</v>
      </c>
      <c r="AN1505" s="32" t="s">
        <v>2131</v>
      </c>
      <c r="AO1505" s="38" t="s">
        <v>2132</v>
      </c>
      <c r="AP1505" s="35" t="s">
        <v>396</v>
      </c>
    </row>
    <row r="1506" spans="1:42" x14ac:dyDescent="0.2">
      <c r="A1506" s="40">
        <v>149</v>
      </c>
      <c r="B1506" s="40">
        <v>1505</v>
      </c>
      <c r="C1506" s="40" t="s">
        <v>119</v>
      </c>
      <c r="D1506" s="38" t="s">
        <v>128</v>
      </c>
      <c r="E1506" s="32" t="s">
        <v>2186</v>
      </c>
      <c r="F1506" s="32" t="s">
        <v>29</v>
      </c>
      <c r="G1506" s="38" t="s">
        <v>29</v>
      </c>
      <c r="H1506" s="32" t="s">
        <v>242</v>
      </c>
      <c r="I1506" s="32" t="s">
        <v>243</v>
      </c>
      <c r="J1506" s="32" t="s">
        <v>2122</v>
      </c>
      <c r="K1506" s="32" t="s">
        <v>1513</v>
      </c>
      <c r="L1506" s="32" t="s">
        <v>30</v>
      </c>
      <c r="M1506" s="32" t="s">
        <v>30</v>
      </c>
      <c r="N1506" s="40">
        <v>2014</v>
      </c>
      <c r="O1506" s="32">
        <f>VLOOKUP(Data!N1273, CPI!$A$2:$B$112, 2, 0)</f>
        <v>251.107</v>
      </c>
      <c r="P1506" s="32" t="s">
        <v>56</v>
      </c>
      <c r="Q1506" s="32" t="s">
        <v>239</v>
      </c>
      <c r="R1506" s="32" t="s">
        <v>2126</v>
      </c>
      <c r="S1506" s="32">
        <v>6411000000</v>
      </c>
      <c r="T1506" s="32" t="s">
        <v>1385</v>
      </c>
      <c r="U1506" s="32">
        <f t="shared" si="97"/>
        <v>193908.41449398099</v>
      </c>
      <c r="V1506" s="32" t="s">
        <v>1487</v>
      </c>
      <c r="W1506" s="32">
        <f>VLOOKUP(N1506, 'Exchange rate- Vietnam'!$A$2:$B$65, 2, 0)</f>
        <v>21148</v>
      </c>
      <c r="X1506" s="32">
        <f t="shared" si="96"/>
        <v>9.1691136038387082</v>
      </c>
      <c r="Y1506" s="32">
        <f>(CPI!$B$112/O1506)*X1506</f>
        <v>11.125200544781171</v>
      </c>
      <c r="Z1506" s="38" t="s">
        <v>1609</v>
      </c>
      <c r="AA1506" s="35" t="s">
        <v>1445</v>
      </c>
      <c r="AB1506" s="32">
        <v>33062</v>
      </c>
      <c r="AC1506" s="32" t="s">
        <v>1425</v>
      </c>
      <c r="AH1506" s="32" t="s">
        <v>411</v>
      </c>
      <c r="AK1506" s="40" t="s">
        <v>2128</v>
      </c>
      <c r="AL1506" s="32">
        <v>2022</v>
      </c>
      <c r="AM1506" s="32" t="s">
        <v>2129</v>
      </c>
      <c r="AN1506" s="32" t="s">
        <v>2131</v>
      </c>
      <c r="AO1506" s="38" t="s">
        <v>2132</v>
      </c>
      <c r="AP1506" s="35" t="s">
        <v>396</v>
      </c>
    </row>
    <row r="1507" spans="1:42" x14ac:dyDescent="0.2">
      <c r="A1507" s="40">
        <v>149</v>
      </c>
      <c r="B1507" s="40">
        <v>1506</v>
      </c>
      <c r="C1507" s="40" t="s">
        <v>119</v>
      </c>
      <c r="D1507" s="38" t="s">
        <v>128</v>
      </c>
      <c r="E1507" s="32" t="s">
        <v>2186</v>
      </c>
      <c r="F1507" s="32" t="s">
        <v>29</v>
      </c>
      <c r="G1507" s="38" t="s">
        <v>29</v>
      </c>
      <c r="H1507" s="32" t="s">
        <v>242</v>
      </c>
      <c r="I1507" s="32" t="s">
        <v>243</v>
      </c>
      <c r="J1507" s="32" t="s">
        <v>2123</v>
      </c>
      <c r="K1507" s="32" t="s">
        <v>1513</v>
      </c>
      <c r="L1507" s="32" t="s">
        <v>30</v>
      </c>
      <c r="M1507" s="32" t="s">
        <v>30</v>
      </c>
      <c r="N1507" s="40">
        <v>2014</v>
      </c>
      <c r="O1507" s="32">
        <f>VLOOKUP(Data!N1274, CPI!$A$2:$B$112, 2, 0)</f>
        <v>251.107</v>
      </c>
      <c r="P1507" s="32" t="s">
        <v>56</v>
      </c>
      <c r="Q1507" s="32" t="s">
        <v>239</v>
      </c>
      <c r="R1507" s="32" t="s">
        <v>2126</v>
      </c>
      <c r="S1507" s="32">
        <v>9058000000</v>
      </c>
      <c r="T1507" s="32" t="s">
        <v>1385</v>
      </c>
      <c r="U1507" s="32">
        <f t="shared" si="97"/>
        <v>273970.11675034784</v>
      </c>
      <c r="V1507" s="32" t="s">
        <v>1487</v>
      </c>
      <c r="W1507" s="32">
        <f>VLOOKUP(N1507, 'Exchange rate- Vietnam'!$A$2:$B$65, 2, 0)</f>
        <v>21148</v>
      </c>
      <c r="X1507" s="32">
        <f t="shared" si="96"/>
        <v>12.954894871871943</v>
      </c>
      <c r="Y1507" s="32">
        <f>(CPI!$B$112/O1507)*X1507</f>
        <v>15.718619019595673</v>
      </c>
      <c r="Z1507" s="38" t="s">
        <v>1609</v>
      </c>
      <c r="AA1507" s="35" t="s">
        <v>1445</v>
      </c>
      <c r="AB1507" s="32">
        <v>33062</v>
      </c>
      <c r="AC1507" s="32" t="s">
        <v>1425</v>
      </c>
      <c r="AH1507" s="32" t="s">
        <v>411</v>
      </c>
      <c r="AK1507" s="40" t="s">
        <v>2128</v>
      </c>
      <c r="AL1507" s="32">
        <v>2022</v>
      </c>
      <c r="AM1507" s="32" t="s">
        <v>2129</v>
      </c>
      <c r="AN1507" s="32" t="s">
        <v>2131</v>
      </c>
      <c r="AO1507" s="38" t="s">
        <v>2132</v>
      </c>
      <c r="AP1507" s="35" t="s">
        <v>396</v>
      </c>
    </row>
    <row r="1508" spans="1:42" x14ac:dyDescent="0.2">
      <c r="A1508" s="40">
        <v>149</v>
      </c>
      <c r="B1508" s="40">
        <v>1507</v>
      </c>
      <c r="C1508" s="40" t="s">
        <v>119</v>
      </c>
      <c r="D1508" s="38" t="s">
        <v>128</v>
      </c>
      <c r="E1508" s="32" t="s">
        <v>2186</v>
      </c>
      <c r="F1508" s="32" t="s">
        <v>29</v>
      </c>
      <c r="G1508" s="38" t="s">
        <v>29</v>
      </c>
      <c r="H1508" s="32" t="s">
        <v>242</v>
      </c>
      <c r="I1508" s="32" t="s">
        <v>243</v>
      </c>
      <c r="J1508" s="32" t="s">
        <v>2124</v>
      </c>
      <c r="K1508" s="32" t="s">
        <v>1513</v>
      </c>
      <c r="L1508" s="32" t="s">
        <v>30</v>
      </c>
      <c r="M1508" s="32" t="s">
        <v>30</v>
      </c>
      <c r="N1508" s="40">
        <v>2014</v>
      </c>
      <c r="O1508" s="32">
        <f>VLOOKUP(Data!N1275, CPI!$A$2:$B$112, 2, 0)</f>
        <v>251.107</v>
      </c>
      <c r="P1508" s="32" t="s">
        <v>56</v>
      </c>
      <c r="Q1508" s="32" t="s">
        <v>239</v>
      </c>
      <c r="R1508" s="32" t="s">
        <v>2126</v>
      </c>
      <c r="S1508" s="32">
        <v>0</v>
      </c>
      <c r="T1508" s="32" t="s">
        <v>1385</v>
      </c>
      <c r="U1508" s="32">
        <f t="shared" si="97"/>
        <v>0</v>
      </c>
      <c r="V1508" s="32" t="s">
        <v>1487</v>
      </c>
      <c r="W1508" s="32">
        <f>VLOOKUP(N1508, 'Exchange rate- Vietnam'!$A$2:$B$65, 2, 0)</f>
        <v>21148</v>
      </c>
      <c r="X1508" s="32">
        <f t="shared" si="96"/>
        <v>0</v>
      </c>
      <c r="Y1508" s="32">
        <f>(CPI!$B$112/O1508)*X1508</f>
        <v>0</v>
      </c>
      <c r="Z1508" s="38" t="s">
        <v>1609</v>
      </c>
      <c r="AA1508" s="35" t="s">
        <v>1445</v>
      </c>
      <c r="AB1508" s="32">
        <v>33062</v>
      </c>
      <c r="AC1508" s="32" t="s">
        <v>1425</v>
      </c>
      <c r="AH1508" s="32" t="s">
        <v>411</v>
      </c>
      <c r="AK1508" s="40" t="s">
        <v>2128</v>
      </c>
      <c r="AL1508" s="32">
        <v>2022</v>
      </c>
      <c r="AM1508" s="32" t="s">
        <v>2129</v>
      </c>
      <c r="AN1508" s="32" t="s">
        <v>2131</v>
      </c>
      <c r="AO1508" s="38" t="s">
        <v>2132</v>
      </c>
      <c r="AP1508" s="35" t="s">
        <v>396</v>
      </c>
    </row>
    <row r="1509" spans="1:42" x14ac:dyDescent="0.2">
      <c r="A1509" s="40">
        <v>149</v>
      </c>
      <c r="B1509" s="40">
        <v>1508</v>
      </c>
      <c r="C1509" s="40" t="s">
        <v>119</v>
      </c>
      <c r="D1509" s="38" t="s">
        <v>128</v>
      </c>
      <c r="E1509" s="32" t="s">
        <v>2186</v>
      </c>
      <c r="F1509" s="32" t="s">
        <v>29</v>
      </c>
      <c r="G1509" s="38" t="s">
        <v>29</v>
      </c>
      <c r="H1509" s="32" t="s">
        <v>242</v>
      </c>
      <c r="I1509" s="32" t="s">
        <v>243</v>
      </c>
      <c r="J1509" s="32" t="s">
        <v>2125</v>
      </c>
      <c r="K1509" s="32" t="s">
        <v>1513</v>
      </c>
      <c r="L1509" s="32" t="s">
        <v>30</v>
      </c>
      <c r="M1509" s="32" t="s">
        <v>30</v>
      </c>
      <c r="N1509" s="40">
        <v>2014</v>
      </c>
      <c r="O1509" s="32">
        <f>VLOOKUP(Data!N1276, CPI!$A$2:$B$112, 2, 0)</f>
        <v>251.107</v>
      </c>
      <c r="P1509" s="32" t="s">
        <v>56</v>
      </c>
      <c r="Q1509" s="32" t="s">
        <v>239</v>
      </c>
      <c r="R1509" s="32" t="s">
        <v>2127</v>
      </c>
      <c r="S1509" s="32">
        <v>0</v>
      </c>
      <c r="T1509" s="32" t="s">
        <v>1385</v>
      </c>
      <c r="U1509" s="32">
        <f t="shared" si="97"/>
        <v>0</v>
      </c>
      <c r="V1509" s="32" t="s">
        <v>1487</v>
      </c>
      <c r="W1509" s="32">
        <f>VLOOKUP(N1509, 'Exchange rate- Vietnam'!$A$2:$B$65, 2, 0)</f>
        <v>21148</v>
      </c>
      <c r="X1509" s="32">
        <f t="shared" si="96"/>
        <v>0</v>
      </c>
      <c r="Y1509" s="32">
        <f>(CPI!$B$112/O1509)*X1509</f>
        <v>0</v>
      </c>
      <c r="Z1509" s="38" t="s">
        <v>1609</v>
      </c>
      <c r="AA1509" s="35" t="s">
        <v>1445</v>
      </c>
      <c r="AB1509" s="32">
        <v>33062</v>
      </c>
      <c r="AC1509" s="32" t="s">
        <v>1425</v>
      </c>
      <c r="AH1509" s="32" t="s">
        <v>411</v>
      </c>
      <c r="AK1509" s="40" t="s">
        <v>2128</v>
      </c>
      <c r="AL1509" s="32">
        <v>2022</v>
      </c>
      <c r="AM1509" s="32" t="s">
        <v>2129</v>
      </c>
      <c r="AN1509" s="32" t="s">
        <v>2131</v>
      </c>
      <c r="AO1509" s="38" t="s">
        <v>2132</v>
      </c>
      <c r="AP1509" s="35" t="s">
        <v>396</v>
      </c>
    </row>
    <row r="1510" spans="1:42" x14ac:dyDescent="0.2">
      <c r="A1510" s="40">
        <v>150</v>
      </c>
      <c r="B1510" s="40">
        <v>1509</v>
      </c>
      <c r="C1510" s="40" t="s">
        <v>149</v>
      </c>
      <c r="D1510" s="38" t="s">
        <v>45</v>
      </c>
      <c r="E1510" s="32" t="s">
        <v>2186</v>
      </c>
      <c r="F1510" s="32" t="s">
        <v>29</v>
      </c>
      <c r="G1510" s="38" t="s">
        <v>29</v>
      </c>
      <c r="H1510" s="32" t="s">
        <v>151</v>
      </c>
      <c r="I1510" s="32" t="s">
        <v>243</v>
      </c>
      <c r="J1510" s="32" t="s">
        <v>2133</v>
      </c>
      <c r="K1510" s="32" t="s">
        <v>1513</v>
      </c>
      <c r="L1510" s="32" t="s">
        <v>30</v>
      </c>
      <c r="M1510" s="32" t="s">
        <v>30</v>
      </c>
      <c r="N1510" s="40">
        <v>2014</v>
      </c>
      <c r="O1510" s="32">
        <f>VLOOKUP(Data!N1277, CPI!$A$2:$B$112, 2, 0)</f>
        <v>237.017</v>
      </c>
      <c r="P1510" s="32" t="s">
        <v>238</v>
      </c>
      <c r="Q1510" s="32" t="s">
        <v>239</v>
      </c>
      <c r="R1510" s="32" t="s">
        <v>2134</v>
      </c>
      <c r="S1510" s="32">
        <v>9760000</v>
      </c>
      <c r="T1510" s="32" t="s">
        <v>1487</v>
      </c>
      <c r="U1510" s="32">
        <v>9760000</v>
      </c>
      <c r="V1510" s="32" t="s">
        <v>1487</v>
      </c>
      <c r="W1510" s="32">
        <f>VLOOKUP(N1510, 'Exchange rate- Vietnam'!$A$2:$B$65, 2, 0)</f>
        <v>21148</v>
      </c>
      <c r="X1510" s="32">
        <f t="shared" si="96"/>
        <v>461.50936258747873</v>
      </c>
      <c r="Y1510" s="32">
        <f>(CPI!$B$112/O1510)*X1510</f>
        <v>593.25353323906984</v>
      </c>
      <c r="Z1510" s="38" t="s">
        <v>1609</v>
      </c>
      <c r="AA1510" s="35" t="s">
        <v>2135</v>
      </c>
      <c r="AB1510" s="32">
        <f>14600000000/U1510</f>
        <v>1495.9016393442623</v>
      </c>
      <c r="AC1510" s="32" t="s">
        <v>2780</v>
      </c>
      <c r="AH1510" s="32" t="s">
        <v>411</v>
      </c>
      <c r="AK1510" s="40" t="s">
        <v>2136</v>
      </c>
      <c r="AL1510" s="32">
        <v>2014</v>
      </c>
      <c r="AM1510" s="32" t="s">
        <v>2137</v>
      </c>
      <c r="AN1510" s="32" t="s">
        <v>2138</v>
      </c>
      <c r="AO1510" s="38" t="s">
        <v>2139</v>
      </c>
      <c r="AP1510" s="35" t="s">
        <v>396</v>
      </c>
    </row>
    <row r="1511" spans="1:42" x14ac:dyDescent="0.2">
      <c r="A1511" s="40">
        <v>151</v>
      </c>
      <c r="B1511" s="40">
        <v>1510</v>
      </c>
      <c r="C1511" s="40" t="s">
        <v>149</v>
      </c>
      <c r="D1511" s="38" t="s">
        <v>45</v>
      </c>
      <c r="E1511" s="32" t="s">
        <v>2183</v>
      </c>
      <c r="F1511" s="32" t="s">
        <v>237</v>
      </c>
      <c r="G1511" s="38" t="s">
        <v>154</v>
      </c>
      <c r="H1511" s="32" t="s">
        <v>151</v>
      </c>
      <c r="I1511" s="32" t="s">
        <v>243</v>
      </c>
      <c r="J1511" s="32" t="s">
        <v>1910</v>
      </c>
      <c r="K1511" s="32" t="s">
        <v>1513</v>
      </c>
      <c r="L1511" s="32" t="s">
        <v>30</v>
      </c>
      <c r="M1511" s="32" t="s">
        <v>30</v>
      </c>
      <c r="N1511" s="40">
        <v>2014</v>
      </c>
      <c r="O1511" s="32">
        <f>VLOOKUP(Data!N1278, CPI!$A$2:$B$112, 2, 0)</f>
        <v>237.017</v>
      </c>
      <c r="P1511" s="32" t="s">
        <v>238</v>
      </c>
      <c r="Q1511" s="32" t="s">
        <v>239</v>
      </c>
      <c r="R1511" s="32" t="s">
        <v>2140</v>
      </c>
      <c r="S1511" s="58">
        <v>35369417000</v>
      </c>
      <c r="T1511" s="32" t="s">
        <v>1385</v>
      </c>
      <c r="U1511" s="32">
        <f t="shared" ref="U1511:U1520" si="98">S1511/AB1511</f>
        <v>8287120.8390669711</v>
      </c>
      <c r="V1511" s="32" t="s">
        <v>1487</v>
      </c>
      <c r="W1511" s="32">
        <f>VLOOKUP(N1511, 'Exchange rate- Vietnam'!$A$2:$B$65, 2, 0)</f>
        <v>21148</v>
      </c>
      <c r="X1511" s="32">
        <f t="shared" si="96"/>
        <v>391.86310001262393</v>
      </c>
      <c r="Y1511" s="32">
        <f>(CPI!$B$112/O1511)*X1511</f>
        <v>503.72579079463173</v>
      </c>
      <c r="Z1511" s="38" t="s">
        <v>1609</v>
      </c>
      <c r="AA1511" s="35" t="s">
        <v>1450</v>
      </c>
      <c r="AB1511" s="32">
        <f t="shared" ref="AB1511:AB1522" si="99">81578518/19114</f>
        <v>4267.998221199121</v>
      </c>
      <c r="AC1511" s="32" t="s">
        <v>2152</v>
      </c>
      <c r="AH1511" s="32" t="s">
        <v>411</v>
      </c>
      <c r="AK1511" s="40" t="s">
        <v>2153</v>
      </c>
      <c r="AL1511" s="32">
        <v>2009</v>
      </c>
      <c r="AM1511" s="32" t="s">
        <v>2154</v>
      </c>
      <c r="AN1511" s="32" t="s">
        <v>2155</v>
      </c>
      <c r="AO1511" s="38" t="s">
        <v>2156</v>
      </c>
      <c r="AP1511" s="35" t="s">
        <v>396</v>
      </c>
    </row>
    <row r="1512" spans="1:42" x14ac:dyDescent="0.2">
      <c r="A1512" s="40">
        <v>151</v>
      </c>
      <c r="B1512" s="40">
        <v>1511</v>
      </c>
      <c r="C1512" s="40" t="s">
        <v>149</v>
      </c>
      <c r="D1512" s="38" t="s">
        <v>45</v>
      </c>
      <c r="E1512" s="32" t="s">
        <v>2183</v>
      </c>
      <c r="F1512" s="32" t="s">
        <v>237</v>
      </c>
      <c r="G1512" s="38" t="s">
        <v>154</v>
      </c>
      <c r="H1512" s="32" t="s">
        <v>151</v>
      </c>
      <c r="I1512" s="32" t="s">
        <v>243</v>
      </c>
      <c r="J1512" s="32" t="s">
        <v>1910</v>
      </c>
      <c r="K1512" s="32" t="s">
        <v>1513</v>
      </c>
      <c r="L1512" s="32" t="s">
        <v>30</v>
      </c>
      <c r="M1512" s="32" t="s">
        <v>30</v>
      </c>
      <c r="N1512" s="40">
        <v>2014</v>
      </c>
      <c r="O1512" s="32">
        <f>VLOOKUP(Data!N1279, CPI!$A$2:$B$112, 2, 0)</f>
        <v>237.017</v>
      </c>
      <c r="P1512" s="32" t="s">
        <v>238</v>
      </c>
      <c r="Q1512" s="32" t="s">
        <v>239</v>
      </c>
      <c r="R1512" s="32" t="s">
        <v>2141</v>
      </c>
      <c r="S1512" s="58">
        <v>23931153000</v>
      </c>
      <c r="T1512" s="32" t="s">
        <v>1385</v>
      </c>
      <c r="U1512" s="32">
        <f t="shared" si="98"/>
        <v>5607114.0988611737</v>
      </c>
      <c r="V1512" s="32" t="s">
        <v>1487</v>
      </c>
      <c r="W1512" s="32">
        <f>VLOOKUP(N1512, 'Exchange rate- Vietnam'!$A$2:$B$65, 2, 0)</f>
        <v>21148</v>
      </c>
      <c r="X1512" s="32">
        <f t="shared" si="96"/>
        <v>265.13684976646368</v>
      </c>
      <c r="Y1512" s="32">
        <f>(CPI!$B$112/O1512)*X1512</f>
        <v>340.82379614999945</v>
      </c>
      <c r="Z1512" s="38" t="s">
        <v>1609</v>
      </c>
      <c r="AA1512" s="35" t="s">
        <v>1450</v>
      </c>
      <c r="AB1512" s="32">
        <f t="shared" si="99"/>
        <v>4267.998221199121</v>
      </c>
      <c r="AC1512" s="32" t="s">
        <v>2152</v>
      </c>
      <c r="AH1512" s="32" t="s">
        <v>411</v>
      </c>
      <c r="AK1512" s="40" t="s">
        <v>2153</v>
      </c>
      <c r="AL1512" s="32">
        <v>2009</v>
      </c>
      <c r="AM1512" s="32" t="s">
        <v>2154</v>
      </c>
      <c r="AN1512" s="32" t="s">
        <v>2155</v>
      </c>
      <c r="AO1512" s="38" t="s">
        <v>2156</v>
      </c>
      <c r="AP1512" s="35" t="s">
        <v>396</v>
      </c>
    </row>
    <row r="1513" spans="1:42" x14ac:dyDescent="0.2">
      <c r="A1513" s="40">
        <v>151</v>
      </c>
      <c r="B1513" s="40">
        <v>1512</v>
      </c>
      <c r="C1513" s="40" t="s">
        <v>149</v>
      </c>
      <c r="D1513" s="38" t="s">
        <v>45</v>
      </c>
      <c r="E1513" s="32" t="s">
        <v>2183</v>
      </c>
      <c r="F1513" s="32" t="s">
        <v>237</v>
      </c>
      <c r="G1513" s="38" t="s">
        <v>1923</v>
      </c>
      <c r="H1513" s="32" t="s">
        <v>151</v>
      </c>
      <c r="I1513" s="32" t="s">
        <v>243</v>
      </c>
      <c r="J1513" s="32" t="s">
        <v>1910</v>
      </c>
      <c r="K1513" s="32" t="s">
        <v>1513</v>
      </c>
      <c r="L1513" s="32" t="s">
        <v>30</v>
      </c>
      <c r="M1513" s="32" t="s">
        <v>30</v>
      </c>
      <c r="N1513" s="40">
        <v>2014</v>
      </c>
      <c r="O1513" s="32">
        <f>VLOOKUP(Data!N1280, CPI!$A$2:$B$112, 2, 0)</f>
        <v>237.017</v>
      </c>
      <c r="P1513" s="32" t="s">
        <v>238</v>
      </c>
      <c r="Q1513" s="32" t="s">
        <v>239</v>
      </c>
      <c r="R1513" s="32" t="s">
        <v>2142</v>
      </c>
      <c r="S1513" s="58">
        <v>17546730000</v>
      </c>
      <c r="T1513" s="32" t="s">
        <v>1385</v>
      </c>
      <c r="U1513" s="32">
        <f t="shared" si="98"/>
        <v>4111231.7978122625</v>
      </c>
      <c r="V1513" s="32" t="s">
        <v>1487</v>
      </c>
      <c r="W1513" s="32">
        <f>VLOOKUP(N1513, 'Exchange rate- Vietnam'!$A$2:$B$65, 2, 0)</f>
        <v>21148</v>
      </c>
      <c r="X1513" s="32">
        <f t="shared" si="96"/>
        <v>194.40286541574912</v>
      </c>
      <c r="Y1513" s="32">
        <f>(CPI!$B$112/O1513)*X1513</f>
        <v>249.89782684599774</v>
      </c>
      <c r="Z1513" s="38" t="s">
        <v>1609</v>
      </c>
      <c r="AA1513" s="35" t="s">
        <v>1450</v>
      </c>
      <c r="AB1513" s="32">
        <f t="shared" si="99"/>
        <v>4267.998221199121</v>
      </c>
      <c r="AC1513" s="32" t="s">
        <v>2152</v>
      </c>
      <c r="AH1513" s="32" t="s">
        <v>411</v>
      </c>
      <c r="AK1513" s="40" t="s">
        <v>2153</v>
      </c>
      <c r="AL1513" s="32">
        <v>2009</v>
      </c>
      <c r="AM1513" s="32" t="s">
        <v>2154</v>
      </c>
      <c r="AN1513" s="32" t="s">
        <v>2155</v>
      </c>
      <c r="AO1513" s="38" t="s">
        <v>2156</v>
      </c>
      <c r="AP1513" s="35" t="s">
        <v>396</v>
      </c>
    </row>
    <row r="1514" spans="1:42" x14ac:dyDescent="0.2">
      <c r="A1514" s="40">
        <v>151</v>
      </c>
      <c r="B1514" s="40">
        <v>1513</v>
      </c>
      <c r="C1514" s="40" t="s">
        <v>149</v>
      </c>
      <c r="D1514" s="38" t="s">
        <v>45</v>
      </c>
      <c r="E1514" s="32" t="s">
        <v>2183</v>
      </c>
      <c r="F1514" s="32" t="s">
        <v>237</v>
      </c>
      <c r="G1514" s="38" t="s">
        <v>154</v>
      </c>
      <c r="H1514" s="32" t="s">
        <v>151</v>
      </c>
      <c r="I1514" s="32" t="s">
        <v>243</v>
      </c>
      <c r="J1514" s="32" t="s">
        <v>1910</v>
      </c>
      <c r="K1514" s="32" t="s">
        <v>1513</v>
      </c>
      <c r="L1514" s="32" t="s">
        <v>30</v>
      </c>
      <c r="M1514" s="32" t="s">
        <v>30</v>
      </c>
      <c r="N1514" s="40">
        <v>2014</v>
      </c>
      <c r="O1514" s="32">
        <f>VLOOKUP(Data!N1281, CPI!$A$2:$B$112, 2, 0)</f>
        <v>237.017</v>
      </c>
      <c r="P1514" s="32" t="s">
        <v>238</v>
      </c>
      <c r="Q1514" s="32" t="s">
        <v>239</v>
      </c>
      <c r="R1514" s="32" t="s">
        <v>2143</v>
      </c>
      <c r="S1514" s="58">
        <v>1600990000</v>
      </c>
      <c r="T1514" s="32" t="s">
        <v>1385</v>
      </c>
      <c r="U1514" s="32">
        <f t="shared" si="98"/>
        <v>375114.96421153424</v>
      </c>
      <c r="V1514" s="32" t="s">
        <v>1487</v>
      </c>
      <c r="W1514" s="32">
        <f>VLOOKUP(N1514, 'Exchange rate- Vietnam'!$A$2:$B$65, 2, 0)</f>
        <v>21148</v>
      </c>
      <c r="X1514" s="32">
        <f t="shared" si="96"/>
        <v>17.737609429332998</v>
      </c>
      <c r="Y1514" s="32">
        <f>(CPI!$B$112/O1514)*X1514</f>
        <v>22.80105306243237</v>
      </c>
      <c r="Z1514" s="38" t="s">
        <v>1609</v>
      </c>
      <c r="AA1514" s="35" t="s">
        <v>1450</v>
      </c>
      <c r="AB1514" s="32">
        <f t="shared" si="99"/>
        <v>4267.998221199121</v>
      </c>
      <c r="AC1514" s="32" t="s">
        <v>2152</v>
      </c>
      <c r="AH1514" s="32" t="s">
        <v>411</v>
      </c>
      <c r="AK1514" s="40" t="s">
        <v>2153</v>
      </c>
      <c r="AL1514" s="32">
        <v>2009</v>
      </c>
      <c r="AM1514" s="32" t="s">
        <v>2154</v>
      </c>
      <c r="AN1514" s="32" t="s">
        <v>2155</v>
      </c>
      <c r="AO1514" s="38" t="s">
        <v>2156</v>
      </c>
      <c r="AP1514" s="35" t="s">
        <v>396</v>
      </c>
    </row>
    <row r="1515" spans="1:42" x14ac:dyDescent="0.2">
      <c r="A1515" s="40">
        <v>151</v>
      </c>
      <c r="B1515" s="40">
        <v>1514</v>
      </c>
      <c r="C1515" s="40" t="s">
        <v>149</v>
      </c>
      <c r="D1515" s="38" t="s">
        <v>45</v>
      </c>
      <c r="E1515" s="32" t="s">
        <v>2183</v>
      </c>
      <c r="F1515" s="32" t="s">
        <v>126</v>
      </c>
      <c r="G1515" s="38" t="s">
        <v>1687</v>
      </c>
      <c r="H1515" s="32" t="s">
        <v>151</v>
      </c>
      <c r="I1515" s="32" t="s">
        <v>243</v>
      </c>
      <c r="J1515" s="32" t="s">
        <v>1910</v>
      </c>
      <c r="K1515" s="32" t="s">
        <v>1513</v>
      </c>
      <c r="L1515" s="32" t="s">
        <v>30</v>
      </c>
      <c r="M1515" s="32" t="s">
        <v>30</v>
      </c>
      <c r="N1515" s="40">
        <v>2014</v>
      </c>
      <c r="O1515" s="32">
        <f>VLOOKUP(Data!N1282, CPI!$A$2:$B$112, 2, 0)</f>
        <v>237.017</v>
      </c>
      <c r="P1515" s="32" t="s">
        <v>238</v>
      </c>
      <c r="Q1515" s="32" t="s">
        <v>239</v>
      </c>
      <c r="R1515" s="32" t="s">
        <v>2144</v>
      </c>
      <c r="S1515" s="58">
        <v>3130229000</v>
      </c>
      <c r="T1515" s="32" t="s">
        <v>1385</v>
      </c>
      <c r="U1515" s="32">
        <f t="shared" si="98"/>
        <v>733418.53434993757</v>
      </c>
      <c r="V1515" s="32" t="s">
        <v>1487</v>
      </c>
      <c r="W1515" s="32">
        <f>VLOOKUP(N1515, 'Exchange rate- Vietnam'!$A$2:$B$65, 2, 0)</f>
        <v>21148</v>
      </c>
      <c r="X1515" s="32">
        <f t="shared" si="96"/>
        <v>34.680278719024855</v>
      </c>
      <c r="Y1515" s="32">
        <f>(CPI!$B$112/O1515)*X1515</f>
        <v>44.580239430954983</v>
      </c>
      <c r="Z1515" s="38" t="s">
        <v>1609</v>
      </c>
      <c r="AA1515" s="35" t="s">
        <v>1450</v>
      </c>
      <c r="AB1515" s="32">
        <f t="shared" si="99"/>
        <v>4267.998221199121</v>
      </c>
      <c r="AC1515" s="32" t="s">
        <v>2152</v>
      </c>
      <c r="AH1515" s="32" t="s">
        <v>411</v>
      </c>
      <c r="AK1515" s="40" t="s">
        <v>2153</v>
      </c>
      <c r="AL1515" s="32">
        <v>2009</v>
      </c>
      <c r="AM1515" s="32" t="s">
        <v>2154</v>
      </c>
      <c r="AN1515" s="32" t="s">
        <v>2155</v>
      </c>
      <c r="AO1515" s="38" t="s">
        <v>2156</v>
      </c>
      <c r="AP1515" s="35" t="s">
        <v>396</v>
      </c>
    </row>
    <row r="1516" spans="1:42" x14ac:dyDescent="0.2">
      <c r="A1516" s="40">
        <v>151</v>
      </c>
      <c r="B1516" s="40">
        <v>1515</v>
      </c>
      <c r="C1516" s="40" t="s">
        <v>149</v>
      </c>
      <c r="D1516" s="38" t="s">
        <v>45</v>
      </c>
      <c r="E1516" s="32" t="s">
        <v>2183</v>
      </c>
      <c r="F1516" s="32" t="s">
        <v>237</v>
      </c>
      <c r="G1516" s="38" t="s">
        <v>154</v>
      </c>
      <c r="H1516" s="32" t="s">
        <v>151</v>
      </c>
      <c r="I1516" s="32" t="s">
        <v>243</v>
      </c>
      <c r="J1516" s="32" t="s">
        <v>1910</v>
      </c>
      <c r="K1516" s="32" t="s">
        <v>1513</v>
      </c>
      <c r="L1516" s="32" t="s">
        <v>30</v>
      </c>
      <c r="M1516" s="32" t="s">
        <v>30</v>
      </c>
      <c r="N1516" s="40">
        <v>2014</v>
      </c>
      <c r="O1516" s="32">
        <f>VLOOKUP(Data!N1283, CPI!$A$2:$B$112, 2, 0)</f>
        <v>218.05600000000001</v>
      </c>
      <c r="P1516" s="32" t="s">
        <v>238</v>
      </c>
      <c r="Q1516" s="32" t="s">
        <v>239</v>
      </c>
      <c r="R1516" s="32" t="s">
        <v>2145</v>
      </c>
      <c r="S1516" s="32">
        <v>-7839150000</v>
      </c>
      <c r="T1516" s="32" t="s">
        <v>1385</v>
      </c>
      <c r="U1516" s="32">
        <f t="shared" si="98"/>
        <v>-1836727.5696280729</v>
      </c>
      <c r="V1516" s="32" t="s">
        <v>1487</v>
      </c>
      <c r="W1516" s="32">
        <f>VLOOKUP(N1516, 'Exchange rate- Vietnam'!$A$2:$B$65, 2, 0)</f>
        <v>21148</v>
      </c>
      <c r="X1516" s="32">
        <f t="shared" si="96"/>
        <v>-86.851123965768537</v>
      </c>
      <c r="Y1516" s="32">
        <f>(CPI!$B$112/O1516)*X1516</f>
        <v>-121.35193795968682</v>
      </c>
      <c r="Z1516" s="38" t="s">
        <v>1609</v>
      </c>
      <c r="AA1516" s="35" t="s">
        <v>1450</v>
      </c>
      <c r="AB1516" s="32">
        <f t="shared" si="99"/>
        <v>4267.998221199121</v>
      </c>
      <c r="AC1516" s="32" t="s">
        <v>2152</v>
      </c>
      <c r="AH1516" s="32" t="s">
        <v>411</v>
      </c>
      <c r="AK1516" s="40" t="s">
        <v>2153</v>
      </c>
      <c r="AL1516" s="32">
        <v>2009</v>
      </c>
      <c r="AM1516" s="32" t="s">
        <v>2154</v>
      </c>
      <c r="AN1516" s="32" t="s">
        <v>2155</v>
      </c>
      <c r="AO1516" s="38" t="s">
        <v>2156</v>
      </c>
      <c r="AP1516" s="35" t="s">
        <v>396</v>
      </c>
    </row>
    <row r="1517" spans="1:42" x14ac:dyDescent="0.2">
      <c r="A1517" s="40">
        <v>151</v>
      </c>
      <c r="B1517" s="40">
        <v>1516</v>
      </c>
      <c r="C1517" s="40" t="s">
        <v>149</v>
      </c>
      <c r="D1517" s="38" t="s">
        <v>45</v>
      </c>
      <c r="E1517" s="32" t="s">
        <v>2183</v>
      </c>
      <c r="F1517" s="32" t="s">
        <v>237</v>
      </c>
      <c r="G1517" s="38" t="s">
        <v>154</v>
      </c>
      <c r="H1517" s="32" t="s">
        <v>151</v>
      </c>
      <c r="I1517" s="32" t="s">
        <v>243</v>
      </c>
      <c r="J1517" s="32" t="s">
        <v>1910</v>
      </c>
      <c r="K1517" s="32" t="s">
        <v>1513</v>
      </c>
      <c r="L1517" s="32" t="s">
        <v>30</v>
      </c>
      <c r="M1517" s="32" t="s">
        <v>30</v>
      </c>
      <c r="N1517" s="40">
        <v>2014</v>
      </c>
      <c r="O1517" s="32">
        <f>VLOOKUP(Data!N1284, CPI!$A$2:$B$112, 2, 0)</f>
        <v>304.67675000000003</v>
      </c>
      <c r="P1517" s="32" t="s">
        <v>238</v>
      </c>
      <c r="Q1517" s="32" t="s">
        <v>239</v>
      </c>
      <c r="R1517" s="32" t="s">
        <v>2146</v>
      </c>
      <c r="S1517" s="58">
        <v>16276653000</v>
      </c>
      <c r="T1517" s="32" t="s">
        <v>1385</v>
      </c>
      <c r="U1517" s="32">
        <f t="shared" si="98"/>
        <v>3813650.3710695016</v>
      </c>
      <c r="V1517" s="32" t="s">
        <v>1487</v>
      </c>
      <c r="W1517" s="32">
        <f>VLOOKUP(N1517, 'Exchange rate- Vietnam'!$A$2:$B$65, 2, 0)</f>
        <v>21148</v>
      </c>
      <c r="X1517" s="32">
        <f t="shared" si="96"/>
        <v>180.33149097169954</v>
      </c>
      <c r="Y1517" s="32">
        <f>(CPI!$B$112/O1517)*X1517</f>
        <v>180.33149097169954</v>
      </c>
      <c r="Z1517" s="38" t="s">
        <v>1609</v>
      </c>
      <c r="AA1517" s="35" t="s">
        <v>1450</v>
      </c>
      <c r="AB1517" s="32">
        <f t="shared" si="99"/>
        <v>4267.998221199121</v>
      </c>
      <c r="AC1517" s="32" t="s">
        <v>2152</v>
      </c>
      <c r="AH1517" s="32" t="s">
        <v>411</v>
      </c>
      <c r="AK1517" s="40" t="s">
        <v>2153</v>
      </c>
      <c r="AL1517" s="32">
        <v>2009</v>
      </c>
      <c r="AM1517" s="32" t="s">
        <v>2154</v>
      </c>
      <c r="AN1517" s="32" t="s">
        <v>2155</v>
      </c>
      <c r="AO1517" s="38" t="s">
        <v>2156</v>
      </c>
      <c r="AP1517" s="35" t="s">
        <v>396</v>
      </c>
    </row>
    <row r="1518" spans="1:42" x14ac:dyDescent="0.2">
      <c r="A1518" s="40">
        <v>151</v>
      </c>
      <c r="B1518" s="40">
        <v>1517</v>
      </c>
      <c r="C1518" s="40" t="s">
        <v>149</v>
      </c>
      <c r="D1518" s="38" t="s">
        <v>45</v>
      </c>
      <c r="E1518" s="32" t="s">
        <v>2183</v>
      </c>
      <c r="F1518" s="32" t="s">
        <v>237</v>
      </c>
      <c r="G1518" s="38" t="s">
        <v>1923</v>
      </c>
      <c r="H1518" s="32" t="s">
        <v>151</v>
      </c>
      <c r="I1518" s="32" t="s">
        <v>243</v>
      </c>
      <c r="J1518" s="32" t="s">
        <v>1910</v>
      </c>
      <c r="K1518" s="32" t="s">
        <v>1513</v>
      </c>
      <c r="L1518" s="32" t="s">
        <v>30</v>
      </c>
      <c r="M1518" s="32" t="s">
        <v>30</v>
      </c>
      <c r="N1518" s="40">
        <v>2014</v>
      </c>
      <c r="O1518" s="32">
        <f>VLOOKUP(Data!N1285, CPI!$A$2:$B$112, 2, 0)</f>
        <v>304.67675000000003</v>
      </c>
      <c r="P1518" s="32" t="s">
        <v>238</v>
      </c>
      <c r="Q1518" s="32" t="s">
        <v>239</v>
      </c>
      <c r="R1518" s="32" t="s">
        <v>2147</v>
      </c>
      <c r="S1518" s="58">
        <v>6941595000</v>
      </c>
      <c r="T1518" s="32" t="s">
        <v>1385</v>
      </c>
      <c r="U1518" s="32">
        <f t="shared" si="98"/>
        <v>1626428.7472101417</v>
      </c>
      <c r="V1518" s="32" t="s">
        <v>1487</v>
      </c>
      <c r="W1518" s="32">
        <f>VLOOKUP(N1518, 'Exchange rate- Vietnam'!$A$2:$B$65, 2, 0)</f>
        <v>21148</v>
      </c>
      <c r="X1518" s="32">
        <f t="shared" si="96"/>
        <v>76.906976887182793</v>
      </c>
      <c r="Y1518" s="32">
        <f>(CPI!$B$112/O1518)*X1518</f>
        <v>76.906976887182793</v>
      </c>
      <c r="Z1518" s="38" t="s">
        <v>1609</v>
      </c>
      <c r="AA1518" s="35" t="s">
        <v>1450</v>
      </c>
      <c r="AB1518" s="32">
        <f t="shared" si="99"/>
        <v>4267.998221199121</v>
      </c>
      <c r="AC1518" s="32" t="s">
        <v>2152</v>
      </c>
      <c r="AH1518" s="32" t="s">
        <v>411</v>
      </c>
      <c r="AK1518" s="40" t="s">
        <v>2153</v>
      </c>
      <c r="AL1518" s="32">
        <v>2009</v>
      </c>
      <c r="AM1518" s="32" t="s">
        <v>2154</v>
      </c>
      <c r="AN1518" s="32" t="s">
        <v>2155</v>
      </c>
      <c r="AO1518" s="38" t="s">
        <v>2156</v>
      </c>
      <c r="AP1518" s="35" t="s">
        <v>396</v>
      </c>
    </row>
    <row r="1519" spans="1:42" x14ac:dyDescent="0.2">
      <c r="A1519" s="40">
        <v>151</v>
      </c>
      <c r="B1519" s="40">
        <v>1518</v>
      </c>
      <c r="C1519" s="40" t="s">
        <v>149</v>
      </c>
      <c r="D1519" s="38" t="s">
        <v>45</v>
      </c>
      <c r="E1519" s="32" t="s">
        <v>2183</v>
      </c>
      <c r="F1519" s="32" t="s">
        <v>237</v>
      </c>
      <c r="G1519" s="38" t="s">
        <v>154</v>
      </c>
      <c r="H1519" s="32" t="s">
        <v>151</v>
      </c>
      <c r="I1519" s="32" t="s">
        <v>243</v>
      </c>
      <c r="J1519" s="32" t="s">
        <v>1910</v>
      </c>
      <c r="K1519" s="32" t="s">
        <v>1513</v>
      </c>
      <c r="L1519" s="32" t="s">
        <v>30</v>
      </c>
      <c r="M1519" s="32" t="s">
        <v>30</v>
      </c>
      <c r="N1519" s="40">
        <v>2014</v>
      </c>
      <c r="O1519" s="32">
        <f>VLOOKUP(Data!N1286, CPI!$A$2:$B$112, 2, 0)</f>
        <v>258.81099999999998</v>
      </c>
      <c r="P1519" s="32" t="s">
        <v>238</v>
      </c>
      <c r="Q1519" s="32" t="s">
        <v>239</v>
      </c>
      <c r="R1519" s="32" t="s">
        <v>2148</v>
      </c>
      <c r="S1519" s="58">
        <v>687560000</v>
      </c>
      <c r="T1519" s="32" t="s">
        <v>1385</v>
      </c>
      <c r="U1519" s="32">
        <f t="shared" si="98"/>
        <v>161096.59947487648</v>
      </c>
      <c r="V1519" s="32" t="s">
        <v>1487</v>
      </c>
      <c r="W1519" s="32">
        <f>VLOOKUP(N1519, 'Exchange rate- Vietnam'!$A$2:$B$65, 2, 0)</f>
        <v>21148</v>
      </c>
      <c r="X1519" s="32">
        <f t="shared" si="96"/>
        <v>7.6175808338791597</v>
      </c>
      <c r="Y1519" s="32">
        <f>(CPI!$B$112/O1519)*X1519</f>
        <v>8.9675468636518261</v>
      </c>
      <c r="Z1519" s="38" t="s">
        <v>1609</v>
      </c>
      <c r="AA1519" s="35" t="s">
        <v>1450</v>
      </c>
      <c r="AB1519" s="32">
        <f t="shared" si="99"/>
        <v>4267.998221199121</v>
      </c>
      <c r="AC1519" s="32" t="s">
        <v>2152</v>
      </c>
      <c r="AH1519" s="32" t="s">
        <v>411</v>
      </c>
      <c r="AK1519" s="40" t="s">
        <v>2153</v>
      </c>
      <c r="AL1519" s="32">
        <v>2009</v>
      </c>
      <c r="AM1519" s="32" t="s">
        <v>2154</v>
      </c>
      <c r="AN1519" s="32" t="s">
        <v>2155</v>
      </c>
      <c r="AO1519" s="38" t="s">
        <v>2156</v>
      </c>
      <c r="AP1519" s="35" t="s">
        <v>396</v>
      </c>
    </row>
    <row r="1520" spans="1:42" x14ac:dyDescent="0.2">
      <c r="A1520" s="40">
        <v>151</v>
      </c>
      <c r="B1520" s="40">
        <v>1519</v>
      </c>
      <c r="C1520" s="40" t="s">
        <v>149</v>
      </c>
      <c r="D1520" s="38" t="s">
        <v>45</v>
      </c>
      <c r="E1520" s="32" t="s">
        <v>2183</v>
      </c>
      <c r="F1520" s="32" t="s">
        <v>126</v>
      </c>
      <c r="G1520" s="38" t="s">
        <v>1687</v>
      </c>
      <c r="H1520" s="32" t="s">
        <v>151</v>
      </c>
      <c r="I1520" s="32" t="s">
        <v>243</v>
      </c>
      <c r="J1520" s="32" t="s">
        <v>1910</v>
      </c>
      <c r="K1520" s="32" t="s">
        <v>1513</v>
      </c>
      <c r="L1520" s="32" t="s">
        <v>30</v>
      </c>
      <c r="M1520" s="32" t="s">
        <v>30</v>
      </c>
      <c r="N1520" s="40">
        <v>2014</v>
      </c>
      <c r="O1520" s="32">
        <f>VLOOKUP(Data!N1287, CPI!$A$2:$B$112, 2, 0)</f>
        <v>258.81099999999998</v>
      </c>
      <c r="P1520" s="32" t="s">
        <v>238</v>
      </c>
      <c r="Q1520" s="32" t="s">
        <v>239</v>
      </c>
      <c r="R1520" s="32" t="s">
        <v>2149</v>
      </c>
      <c r="S1520" s="58">
        <v>2865204000</v>
      </c>
      <c r="T1520" s="32" t="s">
        <v>1385</v>
      </c>
      <c r="U1520" s="32">
        <f t="shared" si="98"/>
        <v>671322.67904155853</v>
      </c>
      <c r="V1520" s="32" t="s">
        <v>1487</v>
      </c>
      <c r="W1520" s="32">
        <f>VLOOKUP(N1520, 'Exchange rate- Vietnam'!$A$2:$B$65, 2, 0)</f>
        <v>21148</v>
      </c>
      <c r="X1520" s="32">
        <f t="shared" si="96"/>
        <v>31.744026813011089</v>
      </c>
      <c r="Y1520" s="32">
        <f>(CPI!$B$112/O1520)*X1520</f>
        <v>37.369613043112849</v>
      </c>
      <c r="Z1520" s="38" t="s">
        <v>1609</v>
      </c>
      <c r="AA1520" s="35" t="s">
        <v>1450</v>
      </c>
      <c r="AB1520" s="32">
        <f t="shared" si="99"/>
        <v>4267.998221199121</v>
      </c>
      <c r="AC1520" s="32" t="s">
        <v>2152</v>
      </c>
      <c r="AH1520" s="32" t="s">
        <v>411</v>
      </c>
      <c r="AK1520" s="40" t="s">
        <v>2153</v>
      </c>
      <c r="AL1520" s="32">
        <v>2009</v>
      </c>
      <c r="AM1520" s="32" t="s">
        <v>2154</v>
      </c>
      <c r="AN1520" s="32" t="s">
        <v>2155</v>
      </c>
      <c r="AO1520" s="38" t="s">
        <v>2156</v>
      </c>
      <c r="AP1520" s="35" t="s">
        <v>396</v>
      </c>
    </row>
    <row r="1521" spans="1:42" x14ac:dyDescent="0.2">
      <c r="A1521" s="40">
        <v>151</v>
      </c>
      <c r="B1521" s="40">
        <v>1520</v>
      </c>
      <c r="C1521" s="40" t="s">
        <v>149</v>
      </c>
      <c r="D1521" s="38" t="s">
        <v>45</v>
      </c>
      <c r="E1521" s="32" t="s">
        <v>2186</v>
      </c>
      <c r="F1521" s="32" t="s">
        <v>29</v>
      </c>
      <c r="G1521" s="38" t="s">
        <v>29</v>
      </c>
      <c r="H1521" s="32" t="s">
        <v>151</v>
      </c>
      <c r="I1521" s="32" t="s">
        <v>243</v>
      </c>
      <c r="J1521" s="32" t="s">
        <v>1910</v>
      </c>
      <c r="K1521" s="32" t="s">
        <v>1513</v>
      </c>
      <c r="L1521" s="32" t="s">
        <v>30</v>
      </c>
      <c r="M1521" s="32" t="s">
        <v>30</v>
      </c>
      <c r="N1521" s="40">
        <v>2014</v>
      </c>
      <c r="O1521" s="32">
        <f>VLOOKUP(Data!N1288, CPI!$A$2:$B$112, 2, 0)</f>
        <v>258.81099999999998</v>
      </c>
      <c r="P1521" s="32" t="s">
        <v>238</v>
      </c>
      <c r="Q1521" s="32" t="s">
        <v>239</v>
      </c>
      <c r="R1521" s="32" t="s">
        <v>2150</v>
      </c>
      <c r="S1521" s="32">
        <v>19114000</v>
      </c>
      <c r="T1521" s="32" t="s">
        <v>1487</v>
      </c>
      <c r="U1521" s="32">
        <v>19114000</v>
      </c>
      <c r="V1521" s="32" t="s">
        <v>1487</v>
      </c>
      <c r="W1521" s="32">
        <f>VLOOKUP(N1521, 'Exchange rate- Vietnam'!$A$2:$B$65, 2, 0)</f>
        <v>21148</v>
      </c>
      <c r="X1521" s="32">
        <f t="shared" si="96"/>
        <v>903.82069226404383</v>
      </c>
      <c r="Y1521" s="32">
        <f>(CPI!$B$112/O1521)*X1521</f>
        <v>1063.9932271107452</v>
      </c>
      <c r="Z1521" s="38" t="s">
        <v>1609</v>
      </c>
      <c r="AA1521" s="35" t="s">
        <v>1451</v>
      </c>
      <c r="AB1521" s="32">
        <f t="shared" si="99"/>
        <v>4267.998221199121</v>
      </c>
      <c r="AC1521" s="32" t="s">
        <v>2152</v>
      </c>
      <c r="AH1521" s="32" t="s">
        <v>411</v>
      </c>
      <c r="AK1521" s="40" t="s">
        <v>2153</v>
      </c>
      <c r="AL1521" s="32">
        <v>2009</v>
      </c>
      <c r="AM1521" s="32" t="s">
        <v>2154</v>
      </c>
      <c r="AN1521" s="32" t="s">
        <v>2155</v>
      </c>
      <c r="AO1521" s="38" t="s">
        <v>2156</v>
      </c>
      <c r="AP1521" s="35" t="s">
        <v>396</v>
      </c>
    </row>
    <row r="1522" spans="1:42" x14ac:dyDescent="0.2">
      <c r="A1522" s="40">
        <v>151</v>
      </c>
      <c r="B1522" s="40">
        <v>1521</v>
      </c>
      <c r="C1522" s="40" t="s">
        <v>149</v>
      </c>
      <c r="D1522" s="38" t="s">
        <v>45</v>
      </c>
      <c r="E1522" s="32" t="s">
        <v>2186</v>
      </c>
      <c r="F1522" s="32" t="s">
        <v>29</v>
      </c>
      <c r="G1522" s="38" t="s">
        <v>29</v>
      </c>
      <c r="H1522" s="32" t="s">
        <v>151</v>
      </c>
      <c r="I1522" s="32" t="s">
        <v>243</v>
      </c>
      <c r="J1522" s="32" t="s">
        <v>1910</v>
      </c>
      <c r="K1522" s="32" t="s">
        <v>1513</v>
      </c>
      <c r="L1522" s="32" t="s">
        <v>30</v>
      </c>
      <c r="M1522" s="32" t="s">
        <v>30</v>
      </c>
      <c r="N1522" s="40">
        <v>2014</v>
      </c>
      <c r="O1522" s="32">
        <f>VLOOKUP(Data!N1289, CPI!$A$2:$B$112, 2, 0)</f>
        <v>258.81099999999998</v>
      </c>
      <c r="P1522" s="32" t="s">
        <v>238</v>
      </c>
      <c r="Q1522" s="32" t="s">
        <v>239</v>
      </c>
      <c r="R1522" s="32" t="s">
        <v>2151</v>
      </c>
      <c r="S1522" s="32">
        <v>4436000</v>
      </c>
      <c r="T1522" s="32" t="s">
        <v>1487</v>
      </c>
      <c r="U1522" s="32">
        <v>4436000</v>
      </c>
      <c r="V1522" s="32" t="s">
        <v>1487</v>
      </c>
      <c r="W1522" s="32">
        <f>VLOOKUP(N1522, 'Exchange rate- Vietnam'!$A$2:$B$65, 2, 0)</f>
        <v>21148</v>
      </c>
      <c r="X1522" s="32">
        <f t="shared" si="96"/>
        <v>209.75978815963686</v>
      </c>
      <c r="Y1522" s="32">
        <f>(CPI!$B$112/O1522)*X1522</f>
        <v>246.9328217779254</v>
      </c>
      <c r="Z1522" s="38" t="s">
        <v>1609</v>
      </c>
      <c r="AA1522" s="35" t="s">
        <v>1451</v>
      </c>
      <c r="AB1522" s="32">
        <f t="shared" si="99"/>
        <v>4267.998221199121</v>
      </c>
      <c r="AC1522" s="32" t="s">
        <v>2152</v>
      </c>
      <c r="AH1522" s="32" t="s">
        <v>411</v>
      </c>
      <c r="AK1522" s="40" t="s">
        <v>2153</v>
      </c>
      <c r="AL1522" s="32">
        <v>2009</v>
      </c>
      <c r="AM1522" s="32" t="s">
        <v>2154</v>
      </c>
      <c r="AN1522" s="32" t="s">
        <v>2155</v>
      </c>
      <c r="AO1522" s="38" t="s">
        <v>2156</v>
      </c>
      <c r="AP1522" s="35" t="s">
        <v>396</v>
      </c>
    </row>
    <row r="1523" spans="1:42" x14ac:dyDescent="0.2">
      <c r="A1523" s="40">
        <v>152</v>
      </c>
      <c r="B1523" s="40">
        <v>1522</v>
      </c>
      <c r="C1523" s="40" t="s">
        <v>119</v>
      </c>
      <c r="D1523" s="38" t="s">
        <v>128</v>
      </c>
      <c r="E1523" s="32" t="s">
        <v>2183</v>
      </c>
      <c r="F1523" s="32" t="s">
        <v>237</v>
      </c>
      <c r="G1523" s="38" t="s">
        <v>1923</v>
      </c>
      <c r="H1523" s="32" t="s">
        <v>242</v>
      </c>
      <c r="I1523" s="32" t="s">
        <v>243</v>
      </c>
      <c r="J1523" s="32" t="s">
        <v>2159</v>
      </c>
      <c r="K1523" s="32" t="s">
        <v>1513</v>
      </c>
      <c r="L1523" s="32" t="s">
        <v>2158</v>
      </c>
      <c r="M1523" s="32" t="s">
        <v>2157</v>
      </c>
      <c r="N1523" s="40">
        <v>2006</v>
      </c>
      <c r="O1523" s="32">
        <f>VLOOKUP(Data!N1027, CPI!$A$2:$B$112, 2, 0)</f>
        <v>237.017</v>
      </c>
      <c r="P1523" s="32" t="s">
        <v>238</v>
      </c>
      <c r="Q1523" s="32" t="s">
        <v>239</v>
      </c>
      <c r="R1523" s="32" t="s">
        <v>2782</v>
      </c>
      <c r="S1523" s="32">
        <v>150</v>
      </c>
      <c r="T1523" s="32" t="s">
        <v>362</v>
      </c>
      <c r="U1523" s="32">
        <f t="shared" ref="U1523:U1528" si="100">S1523/AB1523</f>
        <v>26.429130775254503</v>
      </c>
      <c r="V1523" s="32" t="s">
        <v>316</v>
      </c>
      <c r="X1523" s="32">
        <f>U1523</f>
        <v>26.429130775254503</v>
      </c>
      <c r="Y1523" s="32">
        <f>(CPI!$B$112/O1523)*X1523</f>
        <v>33.973688258350762</v>
      </c>
      <c r="Z1523" s="38" t="s">
        <v>262</v>
      </c>
      <c r="AA1523" s="35" t="s">
        <v>1445</v>
      </c>
      <c r="AB1523" s="32">
        <f>2554/AE1523</f>
        <v>5.6755555555555555</v>
      </c>
      <c r="AC1523" s="32" t="s">
        <v>2787</v>
      </c>
      <c r="AE1523" s="32">
        <f>3*150</f>
        <v>450</v>
      </c>
      <c r="AF1523" s="32" t="s">
        <v>2781</v>
      </c>
      <c r="AH1523" s="32" t="s">
        <v>411</v>
      </c>
      <c r="AJ1523" s="35" t="s">
        <v>2278</v>
      </c>
      <c r="AK1523" s="40" t="s">
        <v>2161</v>
      </c>
      <c r="AL1523" s="32">
        <v>2008</v>
      </c>
      <c r="AM1523" s="32" t="s">
        <v>2162</v>
      </c>
      <c r="AN1523" s="32" t="s">
        <v>2163</v>
      </c>
      <c r="AO1523" s="38" t="s">
        <v>2164</v>
      </c>
      <c r="AP1523" s="35" t="s">
        <v>396</v>
      </c>
    </row>
    <row r="1524" spans="1:42" x14ac:dyDescent="0.2">
      <c r="A1524" s="40">
        <v>152</v>
      </c>
      <c r="B1524" s="40">
        <v>1523</v>
      </c>
      <c r="C1524" s="40" t="s">
        <v>119</v>
      </c>
      <c r="D1524" s="38" t="s">
        <v>128</v>
      </c>
      <c r="E1524" s="32" t="s">
        <v>2186</v>
      </c>
      <c r="F1524" s="32" t="s">
        <v>21</v>
      </c>
      <c r="G1524" s="38" t="s">
        <v>163</v>
      </c>
      <c r="H1524" s="32" t="s">
        <v>242</v>
      </c>
      <c r="I1524" s="32" t="s">
        <v>243</v>
      </c>
      <c r="J1524" s="32" t="s">
        <v>2159</v>
      </c>
      <c r="K1524" s="32" t="s">
        <v>1513</v>
      </c>
      <c r="L1524" s="32" t="s">
        <v>2158</v>
      </c>
      <c r="M1524" s="32" t="s">
        <v>2157</v>
      </c>
      <c r="N1524" s="40">
        <v>2006</v>
      </c>
      <c r="O1524" s="32">
        <f>VLOOKUP(Data!N1028, CPI!$A$2:$B$112, 2, 0)</f>
        <v>237.017</v>
      </c>
      <c r="P1524" s="32" t="s">
        <v>238</v>
      </c>
      <c r="Q1524" s="32" t="s">
        <v>239</v>
      </c>
      <c r="R1524" s="32" t="s">
        <v>2783</v>
      </c>
      <c r="S1524" s="32">
        <v>100</v>
      </c>
      <c r="T1524" s="32" t="s">
        <v>362</v>
      </c>
      <c r="U1524" s="32">
        <f t="shared" si="100"/>
        <v>17.619420516836335</v>
      </c>
      <c r="V1524" s="32" t="s">
        <v>316</v>
      </c>
      <c r="X1524" s="32">
        <f>U1524</f>
        <v>17.619420516836335</v>
      </c>
      <c r="Y1524" s="32">
        <f>(CPI!$B$112/O1524)*X1524</f>
        <v>22.649125505567177</v>
      </c>
      <c r="Z1524" s="38" t="s">
        <v>262</v>
      </c>
      <c r="AA1524" s="35" t="s">
        <v>1445</v>
      </c>
      <c r="AB1524" s="32">
        <f>2554/AE1524</f>
        <v>5.6755555555555555</v>
      </c>
      <c r="AC1524" s="32" t="s">
        <v>2787</v>
      </c>
      <c r="AE1524" s="32">
        <f>3*150</f>
        <v>450</v>
      </c>
      <c r="AF1524" s="32" t="s">
        <v>2781</v>
      </c>
      <c r="AH1524" s="32" t="s">
        <v>411</v>
      </c>
      <c r="AJ1524" s="35" t="s">
        <v>2278</v>
      </c>
      <c r="AK1524" s="40" t="s">
        <v>2161</v>
      </c>
      <c r="AL1524" s="32">
        <v>2008</v>
      </c>
      <c r="AM1524" s="32" t="s">
        <v>2162</v>
      </c>
      <c r="AN1524" s="32" t="s">
        <v>2163</v>
      </c>
      <c r="AO1524" s="38" t="s">
        <v>2164</v>
      </c>
      <c r="AP1524" s="35" t="s">
        <v>396</v>
      </c>
    </row>
    <row r="1525" spans="1:42" x14ac:dyDescent="0.2">
      <c r="A1525" s="40">
        <v>152</v>
      </c>
      <c r="B1525" s="40">
        <v>1524</v>
      </c>
      <c r="C1525" s="40" t="s">
        <v>119</v>
      </c>
      <c r="D1525" s="38" t="s">
        <v>128</v>
      </c>
      <c r="E1525" s="32" t="s">
        <v>2183</v>
      </c>
      <c r="F1525" s="32" t="s">
        <v>126</v>
      </c>
      <c r="G1525" s="38" t="s">
        <v>1687</v>
      </c>
      <c r="H1525" s="32" t="s">
        <v>242</v>
      </c>
      <c r="I1525" s="32" t="s">
        <v>243</v>
      </c>
      <c r="J1525" s="32" t="s">
        <v>2159</v>
      </c>
      <c r="K1525" s="32" t="s">
        <v>1513</v>
      </c>
      <c r="L1525" s="32" t="s">
        <v>2158</v>
      </c>
      <c r="M1525" s="32" t="s">
        <v>2157</v>
      </c>
      <c r="N1525" s="40">
        <v>2006</v>
      </c>
      <c r="O1525" s="32">
        <f>VLOOKUP(Data!N1029, CPI!$A$2:$B$112, 2, 0)</f>
        <v>237.017</v>
      </c>
      <c r="P1525" s="32" t="s">
        <v>238</v>
      </c>
      <c r="Q1525" s="32" t="s">
        <v>239</v>
      </c>
      <c r="R1525" s="32" t="s">
        <v>2784</v>
      </c>
      <c r="S1525" s="32">
        <v>50</v>
      </c>
      <c r="T1525" s="32" t="s">
        <v>362</v>
      </c>
      <c r="U1525" s="32">
        <f t="shared" si="100"/>
        <v>9.4002632073698061E-3</v>
      </c>
      <c r="V1525" s="32" t="s">
        <v>316</v>
      </c>
      <c r="X1525" s="32">
        <f>U1525</f>
        <v>9.4002632073698061E-3</v>
      </c>
      <c r="Y1525" s="32">
        <f>(CPI!$B$112/O1525)*X1525</f>
        <v>1.2083697132129799E-2</v>
      </c>
      <c r="Z1525" s="38" t="s">
        <v>262</v>
      </c>
      <c r="AA1525" s="35" t="s">
        <v>1445</v>
      </c>
      <c r="AB1525" s="32">
        <f>2620+2256+443</f>
        <v>5319</v>
      </c>
      <c r="AC1525" s="32" t="s">
        <v>2786</v>
      </c>
      <c r="AE1525" s="32">
        <f>3*150</f>
        <v>450</v>
      </c>
      <c r="AF1525" s="32" t="s">
        <v>2781</v>
      </c>
      <c r="AH1525" s="32" t="s">
        <v>411</v>
      </c>
      <c r="AJ1525" s="35" t="s">
        <v>2278</v>
      </c>
      <c r="AK1525" s="40" t="s">
        <v>2161</v>
      </c>
      <c r="AL1525" s="32">
        <v>2008</v>
      </c>
      <c r="AM1525" s="32" t="s">
        <v>2162</v>
      </c>
      <c r="AN1525" s="32" t="s">
        <v>2163</v>
      </c>
      <c r="AO1525" s="38" t="s">
        <v>2164</v>
      </c>
      <c r="AP1525" s="35" t="s">
        <v>396</v>
      </c>
    </row>
    <row r="1526" spans="1:42" x14ac:dyDescent="0.2">
      <c r="A1526" s="40">
        <v>152</v>
      </c>
      <c r="B1526" s="40">
        <v>1525</v>
      </c>
      <c r="C1526" s="40" t="s">
        <v>119</v>
      </c>
      <c r="D1526" s="38" t="s">
        <v>128</v>
      </c>
      <c r="E1526" s="32" t="s">
        <v>2183</v>
      </c>
      <c r="F1526" s="32" t="s">
        <v>140</v>
      </c>
      <c r="G1526" s="38" t="s">
        <v>2160</v>
      </c>
      <c r="H1526" s="32" t="s">
        <v>242</v>
      </c>
      <c r="I1526" s="32" t="s">
        <v>243</v>
      </c>
      <c r="J1526" s="32" t="s">
        <v>2159</v>
      </c>
      <c r="K1526" s="32" t="s">
        <v>1513</v>
      </c>
      <c r="L1526" s="32" t="s">
        <v>2158</v>
      </c>
      <c r="M1526" s="32" t="s">
        <v>2157</v>
      </c>
      <c r="N1526" s="40">
        <v>2006</v>
      </c>
      <c r="O1526" s="32">
        <f>VLOOKUP(Data!N1030, CPI!$A$2:$B$112, 2, 0)</f>
        <v>237.017</v>
      </c>
      <c r="P1526" s="32" t="s">
        <v>238</v>
      </c>
      <c r="Q1526" s="32" t="s">
        <v>239</v>
      </c>
      <c r="R1526" s="32" t="s">
        <v>2785</v>
      </c>
      <c r="S1526" s="32">
        <v>45</v>
      </c>
      <c r="T1526" s="32" t="s">
        <v>362</v>
      </c>
      <c r="U1526" s="32">
        <f t="shared" si="100"/>
        <v>8.4602368866328256E-3</v>
      </c>
      <c r="V1526" s="32" t="s">
        <v>316</v>
      </c>
      <c r="X1526" s="32">
        <f>U1526</f>
        <v>8.4602368866328256E-3</v>
      </c>
      <c r="Y1526" s="32">
        <f>(CPI!$B$112/O1526)*X1526</f>
        <v>1.087532741891682E-2</v>
      </c>
      <c r="Z1526" s="38" t="s">
        <v>262</v>
      </c>
      <c r="AA1526" s="35" t="s">
        <v>1445</v>
      </c>
      <c r="AB1526" s="32">
        <f>2620+2256+443</f>
        <v>5319</v>
      </c>
      <c r="AC1526" s="32" t="s">
        <v>2786</v>
      </c>
      <c r="AE1526" s="32">
        <f>3*150</f>
        <v>450</v>
      </c>
      <c r="AF1526" s="32" t="s">
        <v>2781</v>
      </c>
      <c r="AH1526" s="32" t="s">
        <v>411</v>
      </c>
      <c r="AJ1526" s="35" t="s">
        <v>2278</v>
      </c>
      <c r="AK1526" s="40" t="s">
        <v>2161</v>
      </c>
      <c r="AL1526" s="32">
        <v>2008</v>
      </c>
      <c r="AM1526" s="32" t="s">
        <v>2162</v>
      </c>
      <c r="AN1526" s="32" t="s">
        <v>2163</v>
      </c>
      <c r="AO1526" s="38" t="s">
        <v>2164</v>
      </c>
      <c r="AP1526" s="35" t="s">
        <v>396</v>
      </c>
    </row>
    <row r="1527" spans="1:42" x14ac:dyDescent="0.2">
      <c r="A1527" s="40">
        <v>153</v>
      </c>
      <c r="B1527" s="40">
        <v>1526</v>
      </c>
      <c r="C1527" s="40" t="s">
        <v>119</v>
      </c>
      <c r="D1527" s="38" t="s">
        <v>128</v>
      </c>
      <c r="E1527" s="32" t="s">
        <v>2186</v>
      </c>
      <c r="F1527" s="32" t="s">
        <v>29</v>
      </c>
      <c r="G1527" s="38" t="s">
        <v>29</v>
      </c>
      <c r="H1527" s="32" t="s">
        <v>242</v>
      </c>
      <c r="I1527" s="32" t="s">
        <v>243</v>
      </c>
      <c r="J1527" s="32" t="s">
        <v>2165</v>
      </c>
      <c r="K1527" s="32" t="s">
        <v>1513</v>
      </c>
      <c r="L1527" s="32" t="s">
        <v>30</v>
      </c>
      <c r="M1527" s="32" t="s">
        <v>30</v>
      </c>
      <c r="N1527" s="40">
        <v>2013</v>
      </c>
      <c r="O1527" s="32">
        <f>VLOOKUP(Data!N1031, CPI!$A$2:$B$112, 2, 0)</f>
        <v>237.017</v>
      </c>
      <c r="P1527" s="32" t="s">
        <v>56</v>
      </c>
      <c r="Q1527" s="32" t="s">
        <v>239</v>
      </c>
      <c r="R1527" s="32" t="s">
        <v>2788</v>
      </c>
      <c r="S1527" s="32">
        <v>1196</v>
      </c>
      <c r="T1527" s="32" t="s">
        <v>300</v>
      </c>
      <c r="U1527" s="32">
        <f t="shared" si="100"/>
        <v>6.6444444444444448</v>
      </c>
      <c r="V1527" s="32" t="s">
        <v>316</v>
      </c>
      <c r="X1527" s="32">
        <f>U1527</f>
        <v>6.6444444444444448</v>
      </c>
      <c r="Y1527" s="32">
        <f>(CPI!$B$112/O1527)*X1527</f>
        <v>8.5411921460861002</v>
      </c>
      <c r="Z1527" s="38" t="s">
        <v>262</v>
      </c>
      <c r="AA1527" s="35" t="s">
        <v>2170</v>
      </c>
      <c r="AB1527" s="32">
        <v>180</v>
      </c>
      <c r="AC1527" s="32" t="s">
        <v>2789</v>
      </c>
      <c r="AH1527" s="32" t="s">
        <v>411</v>
      </c>
      <c r="AK1527" s="40" t="s">
        <v>2166</v>
      </c>
      <c r="AL1527" s="32">
        <v>2017</v>
      </c>
      <c r="AM1527" s="32" t="s">
        <v>2167</v>
      </c>
      <c r="AN1527" s="32" t="s">
        <v>2168</v>
      </c>
      <c r="AO1527" s="38" t="s">
        <v>2169</v>
      </c>
      <c r="AP1527" s="35" t="s">
        <v>396</v>
      </c>
    </row>
    <row r="1528" spans="1:42" x14ac:dyDescent="0.2">
      <c r="A1528" s="40">
        <v>154</v>
      </c>
      <c r="B1528" s="40">
        <v>1527</v>
      </c>
      <c r="C1528" s="40" t="s">
        <v>149</v>
      </c>
      <c r="D1528" s="38" t="s">
        <v>148</v>
      </c>
      <c r="E1528" s="32" t="s">
        <v>2186</v>
      </c>
      <c r="F1528" s="32" t="s">
        <v>29</v>
      </c>
      <c r="G1528" s="38" t="s">
        <v>29</v>
      </c>
      <c r="H1528" s="32" t="s">
        <v>242</v>
      </c>
      <c r="I1528" s="32" t="s">
        <v>243</v>
      </c>
      <c r="J1528" s="32" t="s">
        <v>1843</v>
      </c>
      <c r="K1528" s="32" t="s">
        <v>1513</v>
      </c>
      <c r="L1528" s="32" t="s">
        <v>30</v>
      </c>
      <c r="M1528" s="32" t="s">
        <v>30</v>
      </c>
      <c r="N1528" s="40">
        <v>2017</v>
      </c>
      <c r="O1528" s="32">
        <f>VLOOKUP(Data!N1290, CPI!$A$2:$B$112, 2, 0)</f>
        <v>258.81099999999998</v>
      </c>
      <c r="P1528" s="32" t="s">
        <v>122</v>
      </c>
      <c r="Q1528" s="32" t="s">
        <v>4</v>
      </c>
      <c r="R1528" s="32" t="s">
        <v>2791</v>
      </c>
      <c r="S1528" s="32">
        <v>5300000000</v>
      </c>
      <c r="T1528" s="32" t="s">
        <v>1310</v>
      </c>
      <c r="U1528" s="32">
        <f t="shared" si="100"/>
        <v>1766666.6666666667</v>
      </c>
      <c r="V1528" s="32" t="s">
        <v>1487</v>
      </c>
      <c r="W1528" s="32">
        <f>VLOOKUP(N1528, 'Exchange rate- Vietnam'!$A$2:$B$65, 2, 0)</f>
        <v>22370.086666666699</v>
      </c>
      <c r="X1528" s="32">
        <f>U1528/W1528</f>
        <v>78.974511497943723</v>
      </c>
      <c r="Y1528" s="32">
        <f>(CPI!$B$112/O1528)*X1528</f>
        <v>92.970150016927917</v>
      </c>
      <c r="Z1528" s="38" t="s">
        <v>1609</v>
      </c>
      <c r="AA1528" s="35" t="s">
        <v>2790</v>
      </c>
      <c r="AB1528" s="32">
        <v>3000</v>
      </c>
      <c r="AC1528" s="32" t="s">
        <v>2269</v>
      </c>
      <c r="AH1528" s="32" t="s">
        <v>411</v>
      </c>
      <c r="AK1528" s="40" t="s">
        <v>2189</v>
      </c>
      <c r="AL1528" s="32">
        <v>2020</v>
      </c>
      <c r="AM1528" s="32" t="s">
        <v>2190</v>
      </c>
      <c r="AN1528" s="32" t="s">
        <v>2191</v>
      </c>
      <c r="AO1528" s="38" t="s">
        <v>2192</v>
      </c>
      <c r="AP1528" s="35" t="s">
        <v>396</v>
      </c>
    </row>
    <row r="1529" spans="1:42" x14ac:dyDescent="0.2">
      <c r="A1529" s="40">
        <v>155</v>
      </c>
      <c r="B1529" s="40">
        <v>1528</v>
      </c>
      <c r="C1529" s="40" t="s">
        <v>114</v>
      </c>
      <c r="D1529" s="38" t="s">
        <v>49</v>
      </c>
      <c r="E1529" s="32" t="s">
        <v>2183</v>
      </c>
      <c r="F1529" s="32" t="s">
        <v>244</v>
      </c>
      <c r="G1529" s="38" t="s">
        <v>2908</v>
      </c>
      <c r="H1529" s="32" t="s">
        <v>151</v>
      </c>
      <c r="I1529" s="32" t="s">
        <v>243</v>
      </c>
      <c r="J1529" s="32" t="s">
        <v>2188</v>
      </c>
      <c r="K1529" s="32" t="s">
        <v>129</v>
      </c>
      <c r="L1529" s="32" t="s">
        <v>30</v>
      </c>
      <c r="M1529" s="32" t="s">
        <v>30</v>
      </c>
      <c r="N1529" s="40">
        <v>2010</v>
      </c>
      <c r="O1529" s="32">
        <f>VLOOKUP(Data!N1049, CPI!$A$2:$B$112, 2, 0)</f>
        <v>232.95699999999999</v>
      </c>
      <c r="P1529" s="32" t="s">
        <v>122</v>
      </c>
      <c r="Q1529" s="32" t="s">
        <v>239</v>
      </c>
      <c r="R1529" s="32" t="s">
        <v>2187</v>
      </c>
      <c r="S1529" s="32">
        <v>575657</v>
      </c>
      <c r="T1529" s="32" t="s">
        <v>300</v>
      </c>
      <c r="U1529" s="32">
        <v>575657</v>
      </c>
      <c r="V1529" s="32" t="s">
        <v>300</v>
      </c>
      <c r="X1529" s="32">
        <f>U1529</f>
        <v>575657</v>
      </c>
      <c r="Y1529" s="32">
        <f>(CPI!$B$112/O1529)*X1529</f>
        <v>752882.7374783759</v>
      </c>
      <c r="Z1529" s="38" t="s">
        <v>262</v>
      </c>
      <c r="AA1529" s="35" t="s">
        <v>2521</v>
      </c>
      <c r="AB1529" s="32" t="s">
        <v>30</v>
      </c>
      <c r="AH1529" s="32" t="s">
        <v>397</v>
      </c>
      <c r="AI1529" s="32" t="s">
        <v>2268</v>
      </c>
      <c r="AK1529" s="40" t="s">
        <v>2193</v>
      </c>
      <c r="AL1529" s="32">
        <v>2013</v>
      </c>
      <c r="AM1529" s="32" t="s">
        <v>2194</v>
      </c>
      <c r="AN1529" s="32" t="s">
        <v>2195</v>
      </c>
      <c r="AO1529" s="38" t="s">
        <v>2196</v>
      </c>
      <c r="AP1529" s="35" t="s">
        <v>396</v>
      </c>
    </row>
    <row r="1530" spans="1:42" x14ac:dyDescent="0.2">
      <c r="A1530" s="40">
        <v>156</v>
      </c>
      <c r="B1530" s="40">
        <v>1529</v>
      </c>
      <c r="C1530" s="40" t="s">
        <v>39</v>
      </c>
      <c r="D1530" s="38" t="s">
        <v>1997</v>
      </c>
      <c r="E1530" s="32" t="s">
        <v>2183</v>
      </c>
      <c r="F1530" s="32" t="s">
        <v>126</v>
      </c>
      <c r="G1530" s="38" t="s">
        <v>153</v>
      </c>
      <c r="H1530" s="32" t="s">
        <v>151</v>
      </c>
      <c r="I1530" s="32" t="s">
        <v>243</v>
      </c>
      <c r="J1530" s="32" t="s">
        <v>2197</v>
      </c>
      <c r="K1530" s="32" t="s">
        <v>129</v>
      </c>
      <c r="L1530" s="32" t="s">
        <v>30</v>
      </c>
      <c r="M1530" s="32" t="s">
        <v>30</v>
      </c>
      <c r="N1530" s="40">
        <v>2018</v>
      </c>
      <c r="O1530" s="32">
        <f>VLOOKUP(Data!N124, CPI!$A$2:$B$112, 2, 0)</f>
        <v>245.12</v>
      </c>
      <c r="P1530" s="32" t="s">
        <v>238</v>
      </c>
      <c r="Q1530" s="32" t="s">
        <v>239</v>
      </c>
      <c r="R1530" s="32" t="s">
        <v>2201</v>
      </c>
      <c r="S1530" s="32">
        <v>240000</v>
      </c>
      <c r="T1530" s="32" t="s">
        <v>2449</v>
      </c>
      <c r="U1530" s="32">
        <f>(240000/3)*2.47105</f>
        <v>197684</v>
      </c>
      <c r="V1530" s="32" t="s">
        <v>2211</v>
      </c>
      <c r="W1530" s="32">
        <f>VLOOKUP(N1530, 'Exchange rate-Kenya'!$A$3:$B$65, 2, 0)</f>
        <v>101.301574049018</v>
      </c>
      <c r="X1530" s="32">
        <f>U1530/W1530</f>
        <v>1951.4405561392787</v>
      </c>
      <c r="Y1530" s="32">
        <f>(CPI!$B$112/O1530)*X1530</f>
        <v>2425.5816190547812</v>
      </c>
      <c r="Z1530" s="38" t="s">
        <v>303</v>
      </c>
      <c r="AA1530" s="35" t="s">
        <v>2202</v>
      </c>
      <c r="AB1530" s="32">
        <f>(0.5*4000)/2.47105</f>
        <v>809.3725339430606</v>
      </c>
      <c r="AC1530" s="32" t="s">
        <v>2450</v>
      </c>
      <c r="AE1530" s="32">
        <v>4000</v>
      </c>
      <c r="AF1530" s="32" t="s">
        <v>2450</v>
      </c>
      <c r="AH1530" s="32" t="s">
        <v>411</v>
      </c>
      <c r="AJ1530" s="59" t="s">
        <v>2451</v>
      </c>
      <c r="AK1530" s="40" t="s">
        <v>2203</v>
      </c>
      <c r="AL1530" s="32">
        <v>2018</v>
      </c>
      <c r="AM1530" s="32" t="s">
        <v>2204</v>
      </c>
      <c r="AN1530" s="32" t="s">
        <v>2205</v>
      </c>
      <c r="AP1530" s="35" t="s">
        <v>396</v>
      </c>
    </row>
    <row r="1531" spans="1:42" x14ac:dyDescent="0.2">
      <c r="A1531" s="40">
        <v>156</v>
      </c>
      <c r="B1531" s="40">
        <v>1530</v>
      </c>
      <c r="C1531" s="40" t="s">
        <v>39</v>
      </c>
      <c r="D1531" s="38" t="s">
        <v>1997</v>
      </c>
      <c r="E1531" s="32" t="s">
        <v>2183</v>
      </c>
      <c r="F1531" s="32" t="s">
        <v>237</v>
      </c>
      <c r="G1531" s="38" t="s">
        <v>1923</v>
      </c>
      <c r="H1531" s="32" t="s">
        <v>151</v>
      </c>
      <c r="I1531" s="32" t="s">
        <v>243</v>
      </c>
      <c r="J1531" s="32" t="s">
        <v>2197</v>
      </c>
      <c r="K1531" s="32" t="s">
        <v>129</v>
      </c>
      <c r="L1531" s="32" t="s">
        <v>30</v>
      </c>
      <c r="M1531" s="32" t="s">
        <v>30</v>
      </c>
      <c r="N1531" s="40">
        <v>2018</v>
      </c>
      <c r="O1531" s="32">
        <f>VLOOKUP(Data!N125, CPI!$A$2:$B$112, 2, 0)</f>
        <v>251.107</v>
      </c>
      <c r="P1531" s="32" t="s">
        <v>238</v>
      </c>
      <c r="Q1531" s="32" t="s">
        <v>239</v>
      </c>
      <c r="R1531" s="32" t="s">
        <v>2198</v>
      </c>
      <c r="S1531" s="32">
        <v>180000</v>
      </c>
      <c r="T1531" s="32" t="s">
        <v>2449</v>
      </c>
      <c r="U1531" s="32">
        <f>(180000/3)*2.47105</f>
        <v>148263</v>
      </c>
      <c r="V1531" s="32" t="s">
        <v>2211</v>
      </c>
      <c r="W1531" s="32">
        <f>VLOOKUP(N1531, 'Exchange rate-Kenya'!$A$3:$B$65, 2, 0)</f>
        <v>101.301574049018</v>
      </c>
      <c r="X1531" s="32">
        <f>U1531/W1531</f>
        <v>1463.580417104459</v>
      </c>
      <c r="Y1531" s="32">
        <f>(CPI!$B$112/O1531)*X1531</f>
        <v>1775.8124020717505</v>
      </c>
      <c r="Z1531" s="38" t="s">
        <v>303</v>
      </c>
      <c r="AA1531" s="35" t="s">
        <v>2202</v>
      </c>
      <c r="AB1531" s="32">
        <f>(0.5*4000)/2.47105</f>
        <v>809.3725339430606</v>
      </c>
      <c r="AC1531" s="32" t="s">
        <v>2450</v>
      </c>
      <c r="AE1531" s="32">
        <v>4000</v>
      </c>
      <c r="AF1531" s="32" t="s">
        <v>2450</v>
      </c>
      <c r="AH1531" s="32" t="s">
        <v>411</v>
      </c>
      <c r="AJ1531" s="59" t="s">
        <v>2451</v>
      </c>
      <c r="AK1531" s="40" t="s">
        <v>2203</v>
      </c>
      <c r="AL1531" s="32">
        <v>2018</v>
      </c>
      <c r="AM1531" s="32" t="s">
        <v>2204</v>
      </c>
      <c r="AN1531" s="32" t="s">
        <v>2205</v>
      </c>
      <c r="AP1531" s="35" t="s">
        <v>396</v>
      </c>
    </row>
    <row r="1532" spans="1:42" x14ac:dyDescent="0.2">
      <c r="A1532" s="40">
        <v>156</v>
      </c>
      <c r="B1532" s="40">
        <v>1531</v>
      </c>
      <c r="C1532" s="40" t="s">
        <v>39</v>
      </c>
      <c r="D1532" s="38" t="s">
        <v>1997</v>
      </c>
      <c r="E1532" s="32" t="s">
        <v>2183</v>
      </c>
      <c r="F1532" s="32" t="s">
        <v>126</v>
      </c>
      <c r="G1532" s="38" t="s">
        <v>60</v>
      </c>
      <c r="H1532" s="32" t="s">
        <v>151</v>
      </c>
      <c r="I1532" s="32" t="s">
        <v>243</v>
      </c>
      <c r="J1532" s="32" t="s">
        <v>2197</v>
      </c>
      <c r="K1532" s="32" t="s">
        <v>129</v>
      </c>
      <c r="L1532" s="32" t="s">
        <v>30</v>
      </c>
      <c r="M1532" s="32" t="s">
        <v>30</v>
      </c>
      <c r="N1532" s="40">
        <v>2018</v>
      </c>
      <c r="O1532" s="32">
        <f>VLOOKUP(Data!N126, CPI!$A$2:$B$112, 2, 0)</f>
        <v>251.107</v>
      </c>
      <c r="P1532" s="32" t="s">
        <v>238</v>
      </c>
      <c r="Q1532" s="32" t="s">
        <v>239</v>
      </c>
      <c r="R1532" s="32" t="s">
        <v>2199</v>
      </c>
      <c r="S1532" s="32">
        <v>27450</v>
      </c>
      <c r="T1532" s="32" t="s">
        <v>2449</v>
      </c>
      <c r="U1532" s="32">
        <f>(27450/3)*2.47105</f>
        <v>22610.107499999998</v>
      </c>
      <c r="V1532" s="32" t="s">
        <v>2211</v>
      </c>
      <c r="W1532" s="32">
        <f>VLOOKUP(N1532, 'Exchange rate-Kenya'!$A$3:$B$65, 2, 0)</f>
        <v>101.301574049018</v>
      </c>
      <c r="X1532" s="32">
        <f>U1532/W1532</f>
        <v>223.19601360842998</v>
      </c>
      <c r="Y1532" s="32">
        <f>(CPI!$B$112/O1532)*X1532</f>
        <v>270.81139131594193</v>
      </c>
      <c r="Z1532" s="38" t="s">
        <v>303</v>
      </c>
      <c r="AA1532" s="35" t="s">
        <v>2202</v>
      </c>
      <c r="AB1532" s="32">
        <f>(0.5*4000)/2.47105</f>
        <v>809.3725339430606</v>
      </c>
      <c r="AC1532" s="32" t="s">
        <v>2450</v>
      </c>
      <c r="AE1532" s="32">
        <v>4000</v>
      </c>
      <c r="AF1532" s="32" t="s">
        <v>2450</v>
      </c>
      <c r="AH1532" s="32" t="s">
        <v>411</v>
      </c>
      <c r="AJ1532" s="59" t="s">
        <v>2451</v>
      </c>
      <c r="AK1532" s="40" t="s">
        <v>2203</v>
      </c>
      <c r="AL1532" s="32">
        <v>2018</v>
      </c>
      <c r="AM1532" s="32" t="s">
        <v>2204</v>
      </c>
      <c r="AN1532" s="32" t="s">
        <v>2205</v>
      </c>
      <c r="AP1532" s="35" t="s">
        <v>396</v>
      </c>
    </row>
    <row r="1533" spans="1:42" x14ac:dyDescent="0.2">
      <c r="A1533" s="40">
        <v>156</v>
      </c>
      <c r="B1533" s="40">
        <v>1532</v>
      </c>
      <c r="C1533" s="40" t="s">
        <v>39</v>
      </c>
      <c r="D1533" s="38" t="s">
        <v>1997</v>
      </c>
      <c r="E1533" s="32" t="s">
        <v>2183</v>
      </c>
      <c r="F1533" s="32" t="s">
        <v>126</v>
      </c>
      <c r="G1533" s="38" t="s">
        <v>153</v>
      </c>
      <c r="H1533" s="32" t="s">
        <v>151</v>
      </c>
      <c r="I1533" s="32" t="s">
        <v>243</v>
      </c>
      <c r="J1533" s="32" t="s">
        <v>2197</v>
      </c>
      <c r="K1533" s="32" t="s">
        <v>129</v>
      </c>
      <c r="L1533" s="32" t="s">
        <v>30</v>
      </c>
      <c r="M1533" s="32" t="s">
        <v>30</v>
      </c>
      <c r="N1533" s="40">
        <v>2018</v>
      </c>
      <c r="O1533" s="32">
        <f>VLOOKUP(Data!N127, CPI!$A$2:$B$112, 2, 0)</f>
        <v>251.107</v>
      </c>
      <c r="P1533" s="32" t="s">
        <v>238</v>
      </c>
      <c r="Q1533" s="32" t="s">
        <v>239</v>
      </c>
      <c r="R1533" s="32" t="s">
        <v>2200</v>
      </c>
      <c r="S1533" s="32">
        <v>14600</v>
      </c>
      <c r="T1533" s="32" t="s">
        <v>2449</v>
      </c>
      <c r="U1533" s="32">
        <f>(14600/3)*2.47105</f>
        <v>12025.776666666667</v>
      </c>
      <c r="V1533" s="32" t="s">
        <v>2211</v>
      </c>
      <c r="W1533" s="32">
        <f>VLOOKUP(N1533, 'Exchange rate-Kenya'!$A$3:$B$65, 2, 0)</f>
        <v>101.301574049018</v>
      </c>
      <c r="X1533" s="32">
        <f>U1533/W1533</f>
        <v>118.71263383180612</v>
      </c>
      <c r="Y1533" s="32">
        <f>(CPI!$B$112/O1533)*X1533</f>
        <v>144.03811705693087</v>
      </c>
      <c r="Z1533" s="38" t="s">
        <v>303</v>
      </c>
      <c r="AA1533" s="35" t="s">
        <v>2202</v>
      </c>
      <c r="AB1533" s="32">
        <f>(0.5*4000)/2.47105</f>
        <v>809.3725339430606</v>
      </c>
      <c r="AC1533" s="32" t="s">
        <v>2450</v>
      </c>
      <c r="AE1533" s="32">
        <v>4000</v>
      </c>
      <c r="AF1533" s="32" t="s">
        <v>2450</v>
      </c>
      <c r="AH1533" s="32" t="s">
        <v>411</v>
      </c>
      <c r="AJ1533" s="59" t="s">
        <v>2451</v>
      </c>
      <c r="AK1533" s="40" t="s">
        <v>2203</v>
      </c>
      <c r="AL1533" s="32">
        <v>2018</v>
      </c>
      <c r="AM1533" s="32" t="s">
        <v>2204</v>
      </c>
      <c r="AN1533" s="32" t="s">
        <v>2205</v>
      </c>
      <c r="AP1533" s="35" t="s">
        <v>396</v>
      </c>
    </row>
    <row r="1534" spans="1:42" x14ac:dyDescent="0.2">
      <c r="A1534" s="40">
        <v>157</v>
      </c>
      <c r="B1534" s="40">
        <v>1533</v>
      </c>
      <c r="C1534" s="40" t="s">
        <v>253</v>
      </c>
      <c r="D1534" s="60" t="s">
        <v>2206</v>
      </c>
      <c r="E1534" s="32" t="s">
        <v>2183</v>
      </c>
      <c r="F1534" s="32" t="s">
        <v>140</v>
      </c>
      <c r="G1534" s="38" t="s">
        <v>2160</v>
      </c>
      <c r="H1534" s="32" t="s">
        <v>151</v>
      </c>
      <c r="I1534" s="32" t="s">
        <v>139</v>
      </c>
      <c r="J1534" s="32" t="s">
        <v>2207</v>
      </c>
      <c r="K1534" s="32" t="s">
        <v>129</v>
      </c>
      <c r="L1534" s="32" t="s">
        <v>30</v>
      </c>
      <c r="M1534" s="32" t="s">
        <v>30</v>
      </c>
      <c r="N1534" s="40">
        <v>2009</v>
      </c>
      <c r="O1534" s="32">
        <f>VLOOKUP(Data!N1571, CPI!$A$2:$B$112, 2, 0)</f>
        <v>172.2</v>
      </c>
      <c r="P1534" s="32" t="s">
        <v>238</v>
      </c>
      <c r="Q1534" s="32" t="s">
        <v>239</v>
      </c>
      <c r="R1534" s="32" t="s">
        <v>2210</v>
      </c>
      <c r="S1534" s="32">
        <v>55.78</v>
      </c>
      <c r="T1534" s="32" t="s">
        <v>2212</v>
      </c>
      <c r="Z1534" s="38" t="s">
        <v>303</v>
      </c>
      <c r="AA1534" s="35" t="s">
        <v>1447</v>
      </c>
      <c r="AB1534" s="32" t="s">
        <v>30</v>
      </c>
      <c r="AH1534" s="32" t="s">
        <v>397</v>
      </c>
      <c r="AI1534" s="32" t="s">
        <v>2268</v>
      </c>
      <c r="AK1534" s="40" t="s">
        <v>2213</v>
      </c>
      <c r="AL1534" s="32">
        <v>2012</v>
      </c>
      <c r="AM1534" s="32" t="s">
        <v>2214</v>
      </c>
      <c r="AN1534" s="32" t="s">
        <v>2215</v>
      </c>
      <c r="AO1534" s="38" t="s">
        <v>2216</v>
      </c>
      <c r="AP1534" s="35" t="s">
        <v>396</v>
      </c>
    </row>
    <row r="1535" spans="1:42" x14ac:dyDescent="0.2">
      <c r="A1535" s="40">
        <v>157</v>
      </c>
      <c r="B1535" s="40">
        <v>1534</v>
      </c>
      <c r="C1535" s="40" t="s">
        <v>253</v>
      </c>
      <c r="D1535" s="60" t="s">
        <v>2206</v>
      </c>
      <c r="E1535" s="32" t="s">
        <v>2183</v>
      </c>
      <c r="F1535" s="32" t="s">
        <v>140</v>
      </c>
      <c r="G1535" s="38" t="s">
        <v>2160</v>
      </c>
      <c r="H1535" s="32" t="s">
        <v>151</v>
      </c>
      <c r="I1535" s="32" t="s">
        <v>139</v>
      </c>
      <c r="J1535" s="32" t="s">
        <v>2208</v>
      </c>
      <c r="K1535" s="32" t="s">
        <v>129</v>
      </c>
      <c r="L1535" s="32" t="s">
        <v>30</v>
      </c>
      <c r="M1535" s="32" t="s">
        <v>30</v>
      </c>
      <c r="N1535" s="40">
        <v>2009</v>
      </c>
      <c r="O1535" s="32">
        <f>VLOOKUP(Data!N1572, CPI!$A$2:$B$112, 2, 0)</f>
        <v>172.2</v>
      </c>
      <c r="P1535" s="32" t="s">
        <v>238</v>
      </c>
      <c r="Q1535" s="32" t="s">
        <v>239</v>
      </c>
      <c r="R1535" s="32" t="s">
        <v>2210</v>
      </c>
      <c r="S1535" s="32">
        <v>53.76</v>
      </c>
      <c r="T1535" s="32" t="s">
        <v>2212</v>
      </c>
      <c r="Z1535" s="38" t="s">
        <v>303</v>
      </c>
      <c r="AA1535" s="35" t="s">
        <v>1447</v>
      </c>
      <c r="AB1535" s="32" t="s">
        <v>30</v>
      </c>
      <c r="AH1535" s="32" t="s">
        <v>397</v>
      </c>
      <c r="AI1535" s="32" t="s">
        <v>2268</v>
      </c>
      <c r="AK1535" s="40" t="s">
        <v>2213</v>
      </c>
      <c r="AL1535" s="32">
        <v>2012</v>
      </c>
      <c r="AM1535" s="32" t="s">
        <v>2214</v>
      </c>
      <c r="AN1535" s="32" t="s">
        <v>2215</v>
      </c>
      <c r="AO1535" s="38" t="s">
        <v>2216</v>
      </c>
      <c r="AP1535" s="35" t="s">
        <v>396</v>
      </c>
    </row>
    <row r="1536" spans="1:42" x14ac:dyDescent="0.2">
      <c r="A1536" s="40">
        <v>157</v>
      </c>
      <c r="B1536" s="40">
        <v>1535</v>
      </c>
      <c r="C1536" s="40" t="s">
        <v>253</v>
      </c>
      <c r="D1536" s="60" t="s">
        <v>2206</v>
      </c>
      <c r="E1536" s="32" t="s">
        <v>2183</v>
      </c>
      <c r="F1536" s="32" t="s">
        <v>140</v>
      </c>
      <c r="G1536" s="38" t="s">
        <v>2160</v>
      </c>
      <c r="H1536" s="32" t="s">
        <v>151</v>
      </c>
      <c r="I1536" s="32" t="s">
        <v>139</v>
      </c>
      <c r="J1536" s="32" t="s">
        <v>2209</v>
      </c>
      <c r="K1536" s="32" t="s">
        <v>129</v>
      </c>
      <c r="L1536" s="32" t="s">
        <v>30</v>
      </c>
      <c r="M1536" s="32" t="s">
        <v>30</v>
      </c>
      <c r="N1536" s="40">
        <v>2009</v>
      </c>
      <c r="O1536" s="32">
        <f>VLOOKUP(Data!N1573, CPI!$A$2:$B$112, 2, 0)</f>
        <v>172.2</v>
      </c>
      <c r="P1536" s="32" t="s">
        <v>238</v>
      </c>
      <c r="Q1536" s="32" t="s">
        <v>239</v>
      </c>
      <c r="R1536" s="32" t="s">
        <v>2210</v>
      </c>
      <c r="S1536" s="32">
        <v>41.43</v>
      </c>
      <c r="T1536" s="32" t="s">
        <v>2212</v>
      </c>
      <c r="Z1536" s="38" t="s">
        <v>303</v>
      </c>
      <c r="AA1536" s="35" t="s">
        <v>1447</v>
      </c>
      <c r="AB1536" s="32" t="s">
        <v>30</v>
      </c>
      <c r="AH1536" s="32" t="s">
        <v>397</v>
      </c>
      <c r="AI1536" s="32" t="s">
        <v>2268</v>
      </c>
      <c r="AK1536" s="40" t="s">
        <v>2213</v>
      </c>
      <c r="AL1536" s="32">
        <v>2012</v>
      </c>
      <c r="AM1536" s="32" t="s">
        <v>2214</v>
      </c>
      <c r="AN1536" s="32" t="s">
        <v>2215</v>
      </c>
      <c r="AO1536" s="38" t="s">
        <v>2216</v>
      </c>
      <c r="AP1536" s="35" t="s">
        <v>396</v>
      </c>
    </row>
    <row r="1537" spans="1:42" x14ac:dyDescent="0.2">
      <c r="A1537" s="40">
        <v>158</v>
      </c>
      <c r="B1537" s="40">
        <v>1536</v>
      </c>
      <c r="C1537" s="40" t="s">
        <v>119</v>
      </c>
      <c r="D1537" s="38" t="s">
        <v>128</v>
      </c>
      <c r="E1537" s="32" t="s">
        <v>2887</v>
      </c>
      <c r="F1537" s="32" t="s">
        <v>121</v>
      </c>
      <c r="G1537" s="38" t="s">
        <v>121</v>
      </c>
      <c r="H1537" s="32" t="s">
        <v>242</v>
      </c>
      <c r="I1537" s="32" t="s">
        <v>61</v>
      </c>
      <c r="J1537" s="32" t="s">
        <v>2217</v>
      </c>
      <c r="K1537" s="32" t="s">
        <v>129</v>
      </c>
      <c r="L1537" s="32" t="s">
        <v>30</v>
      </c>
      <c r="M1537" s="32" t="s">
        <v>30</v>
      </c>
      <c r="N1537" s="40">
        <v>2014</v>
      </c>
      <c r="O1537" s="32">
        <f>VLOOKUP(Data!N1032, CPI!$A$2:$B$112, 2, 0)</f>
        <v>237.017</v>
      </c>
      <c r="P1537" s="32" t="s">
        <v>160</v>
      </c>
      <c r="Q1537" s="32" t="s">
        <v>239</v>
      </c>
      <c r="R1537" s="32" t="s">
        <v>2218</v>
      </c>
      <c r="S1537" s="32">
        <v>73076000</v>
      </c>
      <c r="T1537" s="32" t="s">
        <v>300</v>
      </c>
      <c r="U1537" s="32">
        <f>S1537/AB1537</f>
        <v>483.94701986754967</v>
      </c>
      <c r="V1537" s="32" t="s">
        <v>316</v>
      </c>
      <c r="X1537" s="32">
        <f t="shared" ref="X1537:X1542" si="101">U1537</f>
        <v>483.94701986754967</v>
      </c>
      <c r="Y1537" s="32">
        <f>(CPI!$B$112/O1537)*X1537</f>
        <v>622.09632720619402</v>
      </c>
      <c r="Z1537" s="38" t="s">
        <v>262</v>
      </c>
      <c r="AA1537" s="35" t="s">
        <v>2219</v>
      </c>
      <c r="AB1537" s="32">
        <v>151000</v>
      </c>
      <c r="AH1537" s="32" t="s">
        <v>411</v>
      </c>
      <c r="AJ1537" s="35" t="s">
        <v>2278</v>
      </c>
      <c r="AK1537" s="40" t="s">
        <v>2220</v>
      </c>
      <c r="AL1537" s="32">
        <v>2018</v>
      </c>
      <c r="AM1537" s="32" t="s">
        <v>2221</v>
      </c>
      <c r="AN1537" s="32" t="s">
        <v>2222</v>
      </c>
      <c r="AO1537" s="38" t="s">
        <v>2223</v>
      </c>
      <c r="AP1537" s="35" t="s">
        <v>396</v>
      </c>
    </row>
    <row r="1538" spans="1:42" x14ac:dyDescent="0.2">
      <c r="A1538" s="40">
        <v>159</v>
      </c>
      <c r="B1538" s="40">
        <v>1537</v>
      </c>
      <c r="C1538" s="40" t="s">
        <v>357</v>
      </c>
      <c r="D1538" s="38" t="s">
        <v>130</v>
      </c>
      <c r="E1538" s="32" t="s">
        <v>2186</v>
      </c>
      <c r="F1538" s="32" t="s">
        <v>21</v>
      </c>
      <c r="G1538" s="36" t="s">
        <v>163</v>
      </c>
      <c r="H1538" s="32" t="s">
        <v>151</v>
      </c>
      <c r="I1538" s="32" t="s">
        <v>243</v>
      </c>
      <c r="J1538" s="32" t="s">
        <v>2224</v>
      </c>
      <c r="K1538" s="32" t="s">
        <v>129</v>
      </c>
      <c r="L1538" s="32" t="s">
        <v>30</v>
      </c>
      <c r="M1538" s="32" t="s">
        <v>30</v>
      </c>
      <c r="N1538" s="40">
        <v>2012</v>
      </c>
      <c r="O1538" s="32">
        <f>VLOOKUP(Data!N1033, CPI!$A$2:$B$112, 2, 0)</f>
        <v>229.59399999999999</v>
      </c>
      <c r="P1538" s="32" t="s">
        <v>16</v>
      </c>
      <c r="Q1538" s="32" t="s">
        <v>66</v>
      </c>
      <c r="R1538" s="32" t="s">
        <v>2225</v>
      </c>
      <c r="S1538" s="32">
        <v>1.78</v>
      </c>
      <c r="T1538" s="32" t="s">
        <v>2370</v>
      </c>
      <c r="U1538" s="32">
        <f>(S1538*AE1538)/AB1538</f>
        <v>5.0396250000000004E-2</v>
      </c>
      <c r="V1538" s="32" t="s">
        <v>316</v>
      </c>
      <c r="X1538" s="32">
        <f t="shared" si="101"/>
        <v>5.0396250000000004E-2</v>
      </c>
      <c r="Y1538" s="32">
        <f>(CPI!$B$112/O1538)*X1538</f>
        <v>6.6877033642810807E-2</v>
      </c>
      <c r="Z1538" s="38" t="s">
        <v>262</v>
      </c>
      <c r="AA1538" s="35" t="s">
        <v>1447</v>
      </c>
      <c r="AB1538" s="32">
        <v>16000</v>
      </c>
      <c r="AC1538" s="32" t="s">
        <v>2368</v>
      </c>
      <c r="AE1538" s="32">
        <v>453</v>
      </c>
      <c r="AF1538" s="32" t="s">
        <v>2369</v>
      </c>
      <c r="AH1538" s="32" t="s">
        <v>411</v>
      </c>
      <c r="AJ1538" s="32" t="s">
        <v>2371</v>
      </c>
      <c r="AK1538" s="40" t="s">
        <v>2230</v>
      </c>
      <c r="AL1538" s="32">
        <v>2018</v>
      </c>
      <c r="AM1538" s="32" t="s">
        <v>2231</v>
      </c>
      <c r="AN1538" s="32" t="s">
        <v>2232</v>
      </c>
      <c r="AO1538" s="38" t="s">
        <v>2233</v>
      </c>
      <c r="AP1538" s="35" t="s">
        <v>396</v>
      </c>
    </row>
    <row r="1539" spans="1:42" x14ac:dyDescent="0.2">
      <c r="A1539" s="40">
        <v>159</v>
      </c>
      <c r="B1539" s="40">
        <v>1538</v>
      </c>
      <c r="C1539" s="40" t="s">
        <v>357</v>
      </c>
      <c r="D1539" s="38" t="s">
        <v>130</v>
      </c>
      <c r="E1539" s="32" t="s">
        <v>2185</v>
      </c>
      <c r="F1539" s="32" t="s">
        <v>2893</v>
      </c>
      <c r="G1539" s="36" t="s">
        <v>158</v>
      </c>
      <c r="H1539" s="32" t="s">
        <v>151</v>
      </c>
      <c r="I1539" s="32" t="s">
        <v>243</v>
      </c>
      <c r="J1539" s="32" t="s">
        <v>2224</v>
      </c>
      <c r="K1539" s="32" t="s">
        <v>129</v>
      </c>
      <c r="L1539" s="32" t="s">
        <v>30</v>
      </c>
      <c r="M1539" s="32" t="s">
        <v>30</v>
      </c>
      <c r="N1539" s="40">
        <v>2012</v>
      </c>
      <c r="O1539" s="32">
        <f>VLOOKUP(Data!N1034, CPI!$A$2:$B$112, 2, 0)</f>
        <v>232.95699999999999</v>
      </c>
      <c r="P1539" s="32" t="s">
        <v>16</v>
      </c>
      <c r="Q1539" s="32" t="s">
        <v>66</v>
      </c>
      <c r="R1539" s="32" t="s">
        <v>2226</v>
      </c>
      <c r="S1539" s="32">
        <v>1.33</v>
      </c>
      <c r="T1539" s="32" t="s">
        <v>2370</v>
      </c>
      <c r="U1539" s="32">
        <f>(S1539*AE1539)/AB1539</f>
        <v>3.7655624999999998E-2</v>
      </c>
      <c r="V1539" s="32" t="s">
        <v>316</v>
      </c>
      <c r="X1539" s="32">
        <f t="shared" si="101"/>
        <v>3.7655624999999998E-2</v>
      </c>
      <c r="Y1539" s="32">
        <f>(CPI!$B$112/O1539)*X1539</f>
        <v>4.9248545629531418E-2</v>
      </c>
      <c r="Z1539" s="38" t="s">
        <v>262</v>
      </c>
      <c r="AA1539" s="35" t="s">
        <v>1447</v>
      </c>
      <c r="AB1539" s="32">
        <v>16000</v>
      </c>
      <c r="AC1539" s="32" t="s">
        <v>2368</v>
      </c>
      <c r="AE1539" s="32">
        <v>453</v>
      </c>
      <c r="AF1539" s="32" t="s">
        <v>2369</v>
      </c>
      <c r="AH1539" s="32" t="s">
        <v>411</v>
      </c>
      <c r="AJ1539" s="32" t="s">
        <v>2371</v>
      </c>
      <c r="AK1539" s="40" t="s">
        <v>2230</v>
      </c>
      <c r="AL1539" s="32">
        <v>2018</v>
      </c>
      <c r="AM1539" s="32" t="s">
        <v>2231</v>
      </c>
      <c r="AN1539" s="32" t="s">
        <v>2232</v>
      </c>
      <c r="AO1539" s="38" t="s">
        <v>2233</v>
      </c>
      <c r="AP1539" s="35" t="s">
        <v>396</v>
      </c>
    </row>
    <row r="1540" spans="1:42" x14ac:dyDescent="0.2">
      <c r="A1540" s="40">
        <v>159</v>
      </c>
      <c r="B1540" s="40">
        <v>1539</v>
      </c>
      <c r="C1540" s="40" t="s">
        <v>357</v>
      </c>
      <c r="D1540" s="38" t="s">
        <v>130</v>
      </c>
      <c r="E1540" s="32" t="s">
        <v>2186</v>
      </c>
      <c r="F1540" s="32" t="s">
        <v>21</v>
      </c>
      <c r="G1540" s="38" t="s">
        <v>163</v>
      </c>
      <c r="H1540" s="32" t="s">
        <v>151</v>
      </c>
      <c r="I1540" s="32" t="s">
        <v>243</v>
      </c>
      <c r="J1540" s="32" t="s">
        <v>2224</v>
      </c>
      <c r="K1540" s="32" t="s">
        <v>129</v>
      </c>
      <c r="L1540" s="32" t="s">
        <v>30</v>
      </c>
      <c r="M1540" s="32" t="s">
        <v>30</v>
      </c>
      <c r="N1540" s="40">
        <v>2012</v>
      </c>
      <c r="O1540" s="32">
        <f>VLOOKUP(Data!N1035, CPI!$A$2:$B$112, 2, 0)</f>
        <v>232.95699999999999</v>
      </c>
      <c r="P1540" s="32" t="s">
        <v>16</v>
      </c>
      <c r="Q1540" s="32" t="s">
        <v>66</v>
      </c>
      <c r="R1540" s="32" t="s">
        <v>2227</v>
      </c>
      <c r="S1540" s="32">
        <v>0.57999999999999996</v>
      </c>
      <c r="T1540" s="32" t="s">
        <v>2370</v>
      </c>
      <c r="U1540" s="32">
        <f>(S1540*AE1540)/AB1540</f>
        <v>1.6421250000000002E-2</v>
      </c>
      <c r="V1540" s="32" t="s">
        <v>316</v>
      </c>
      <c r="X1540" s="32">
        <f t="shared" si="101"/>
        <v>1.6421250000000002E-2</v>
      </c>
      <c r="Y1540" s="32">
        <f>(CPI!$B$112/O1540)*X1540</f>
        <v>2.1476809372276862E-2</v>
      </c>
      <c r="Z1540" s="38" t="s">
        <v>262</v>
      </c>
      <c r="AA1540" s="35" t="s">
        <v>1447</v>
      </c>
      <c r="AB1540" s="32">
        <v>16000</v>
      </c>
      <c r="AC1540" s="32" t="s">
        <v>2368</v>
      </c>
      <c r="AE1540" s="32">
        <v>453</v>
      </c>
      <c r="AF1540" s="32" t="s">
        <v>2369</v>
      </c>
      <c r="AH1540" s="32" t="s">
        <v>411</v>
      </c>
      <c r="AJ1540" s="32" t="s">
        <v>2371</v>
      </c>
      <c r="AK1540" s="40" t="s">
        <v>2230</v>
      </c>
      <c r="AL1540" s="32">
        <v>2018</v>
      </c>
      <c r="AM1540" s="32" t="s">
        <v>2231</v>
      </c>
      <c r="AN1540" s="32" t="s">
        <v>2232</v>
      </c>
      <c r="AO1540" s="38" t="s">
        <v>2233</v>
      </c>
      <c r="AP1540" s="35" t="s">
        <v>396</v>
      </c>
    </row>
    <row r="1541" spans="1:42" x14ac:dyDescent="0.2">
      <c r="A1541" s="40">
        <v>159</v>
      </c>
      <c r="B1541" s="40">
        <v>1540</v>
      </c>
      <c r="C1541" s="40" t="s">
        <v>357</v>
      </c>
      <c r="D1541" s="38" t="s">
        <v>130</v>
      </c>
      <c r="E1541" s="32" t="s">
        <v>2186</v>
      </c>
      <c r="F1541" s="32" t="s">
        <v>29</v>
      </c>
      <c r="G1541" s="38" t="s">
        <v>29</v>
      </c>
      <c r="H1541" s="32" t="s">
        <v>151</v>
      </c>
      <c r="I1541" s="32" t="s">
        <v>243</v>
      </c>
      <c r="J1541" s="32" t="s">
        <v>2224</v>
      </c>
      <c r="K1541" s="32" t="s">
        <v>129</v>
      </c>
      <c r="L1541" s="32" t="s">
        <v>30</v>
      </c>
      <c r="M1541" s="32" t="s">
        <v>30</v>
      </c>
      <c r="N1541" s="40">
        <v>2012</v>
      </c>
      <c r="O1541" s="32">
        <f>VLOOKUP(Data!N1036, CPI!$A$2:$B$112, 2, 0)</f>
        <v>232.95699999999999</v>
      </c>
      <c r="P1541" s="32" t="s">
        <v>16</v>
      </c>
      <c r="Q1541" s="32" t="s">
        <v>239</v>
      </c>
      <c r="R1541" s="32" t="s">
        <v>2229</v>
      </c>
      <c r="S1541" s="32">
        <v>7.61</v>
      </c>
      <c r="T1541" s="32" t="s">
        <v>2370</v>
      </c>
      <c r="U1541" s="32">
        <f>(S1541*AE1541)/AB1541</f>
        <v>0.215458125</v>
      </c>
      <c r="V1541" s="32" t="s">
        <v>316</v>
      </c>
      <c r="X1541" s="32">
        <f t="shared" si="101"/>
        <v>0.215458125</v>
      </c>
      <c r="Y1541" s="32">
        <f>(CPI!$B$112/O1541)*X1541</f>
        <v>0.28179055055694291</v>
      </c>
      <c r="Z1541" s="38" t="s">
        <v>262</v>
      </c>
      <c r="AA1541" s="35" t="s">
        <v>1448</v>
      </c>
      <c r="AB1541" s="32">
        <v>16000</v>
      </c>
      <c r="AC1541" s="32" t="s">
        <v>2368</v>
      </c>
      <c r="AE1541" s="32">
        <v>453</v>
      </c>
      <c r="AF1541" s="32" t="s">
        <v>2369</v>
      </c>
      <c r="AH1541" s="32" t="s">
        <v>411</v>
      </c>
      <c r="AJ1541" s="32" t="s">
        <v>2371</v>
      </c>
      <c r="AK1541" s="40" t="s">
        <v>2230</v>
      </c>
      <c r="AL1541" s="32">
        <v>2018</v>
      </c>
      <c r="AM1541" s="32" t="s">
        <v>2231</v>
      </c>
      <c r="AN1541" s="32" t="s">
        <v>2232</v>
      </c>
      <c r="AO1541" s="38" t="s">
        <v>2233</v>
      </c>
      <c r="AP1541" s="35" t="s">
        <v>396</v>
      </c>
    </row>
    <row r="1542" spans="1:42" x14ac:dyDescent="0.2">
      <c r="A1542" s="40">
        <v>159</v>
      </c>
      <c r="B1542" s="40">
        <v>1541</v>
      </c>
      <c r="C1542" s="40" t="s">
        <v>357</v>
      </c>
      <c r="D1542" s="38" t="s">
        <v>130</v>
      </c>
      <c r="E1542" s="32" t="s">
        <v>2186</v>
      </c>
      <c r="F1542" s="32" t="s">
        <v>29</v>
      </c>
      <c r="G1542" s="38" t="s">
        <v>29</v>
      </c>
      <c r="H1542" s="32" t="s">
        <v>151</v>
      </c>
      <c r="I1542" s="32" t="s">
        <v>243</v>
      </c>
      <c r="J1542" s="32" t="s">
        <v>2224</v>
      </c>
      <c r="K1542" s="32" t="s">
        <v>129</v>
      </c>
      <c r="L1542" s="32" t="s">
        <v>30</v>
      </c>
      <c r="M1542" s="32" t="s">
        <v>30</v>
      </c>
      <c r="N1542" s="40">
        <v>2012</v>
      </c>
      <c r="O1542" s="32">
        <f>VLOOKUP(Data!N1037, CPI!$A$2:$B$112, 2, 0)</f>
        <v>232.95699999999999</v>
      </c>
      <c r="P1542" s="32" t="s">
        <v>16</v>
      </c>
      <c r="Q1542" s="32" t="s">
        <v>239</v>
      </c>
      <c r="R1542" s="32" t="s">
        <v>2228</v>
      </c>
      <c r="S1542" s="32">
        <v>3.82</v>
      </c>
      <c r="T1542" s="32" t="s">
        <v>2370</v>
      </c>
      <c r="U1542" s="32">
        <f>(S1542*AE1542)/AB1542</f>
        <v>0.10815375000000001</v>
      </c>
      <c r="V1542" s="32" t="s">
        <v>316</v>
      </c>
      <c r="X1542" s="32">
        <f t="shared" si="101"/>
        <v>0.10815375000000001</v>
      </c>
      <c r="Y1542" s="32">
        <f>(CPI!$B$112/O1542)*X1542</f>
        <v>0.14145071000361656</v>
      </c>
      <c r="Z1542" s="38" t="s">
        <v>262</v>
      </c>
      <c r="AA1542" s="35" t="s">
        <v>1448</v>
      </c>
      <c r="AB1542" s="32">
        <v>16000</v>
      </c>
      <c r="AC1542" s="32" t="s">
        <v>2368</v>
      </c>
      <c r="AE1542" s="32">
        <v>453</v>
      </c>
      <c r="AF1542" s="32" t="s">
        <v>2369</v>
      </c>
      <c r="AH1542" s="32" t="s">
        <v>411</v>
      </c>
      <c r="AJ1542" s="32" t="s">
        <v>2371</v>
      </c>
      <c r="AK1542" s="40" t="s">
        <v>2230</v>
      </c>
      <c r="AL1542" s="32">
        <v>2018</v>
      </c>
      <c r="AM1542" s="32" t="s">
        <v>2231</v>
      </c>
      <c r="AN1542" s="32" t="s">
        <v>2232</v>
      </c>
      <c r="AO1542" s="38" t="s">
        <v>2233</v>
      </c>
      <c r="AP1542" s="35" t="s">
        <v>396</v>
      </c>
    </row>
    <row r="1543" spans="1:42" x14ac:dyDescent="0.2">
      <c r="A1543" s="40">
        <v>160</v>
      </c>
      <c r="B1543" s="40">
        <v>1542</v>
      </c>
      <c r="C1543" s="40" t="s">
        <v>119</v>
      </c>
      <c r="D1543" s="38" t="s">
        <v>128</v>
      </c>
      <c r="E1543" s="32" t="s">
        <v>2183</v>
      </c>
      <c r="F1543" s="32" t="s">
        <v>126</v>
      </c>
      <c r="G1543" s="38" t="s">
        <v>60</v>
      </c>
      <c r="H1543" s="32" t="s">
        <v>151</v>
      </c>
      <c r="I1543" s="32" t="s">
        <v>243</v>
      </c>
      <c r="J1543" s="32" t="s">
        <v>2240</v>
      </c>
      <c r="K1543" s="32" t="s">
        <v>129</v>
      </c>
      <c r="L1543" s="32" t="s">
        <v>30</v>
      </c>
      <c r="M1543" s="32" t="s">
        <v>30</v>
      </c>
      <c r="N1543" s="40">
        <v>2006</v>
      </c>
      <c r="O1543" s="32">
        <f>VLOOKUP(Data!N128, CPI!$A$2:$B$112, 2, 0)</f>
        <v>251.107</v>
      </c>
      <c r="P1543" s="32" t="s">
        <v>238</v>
      </c>
      <c r="Q1543" s="32" t="s">
        <v>239</v>
      </c>
      <c r="R1543" s="32" t="s">
        <v>2234</v>
      </c>
      <c r="S1543" s="32">
        <f>351/1.93</f>
        <v>181.86528497409327</v>
      </c>
      <c r="T1543" s="32" t="s">
        <v>306</v>
      </c>
      <c r="U1543" s="32">
        <f>351/1.93</f>
        <v>181.86528497409327</v>
      </c>
      <c r="V1543" s="32" t="s">
        <v>306</v>
      </c>
      <c r="W1543" s="32">
        <f>VLOOKUP(N1543, 'Exchange rate-Kenya'!$A$3:$B$65, 2, 0)</f>
        <v>72.100835017862096</v>
      </c>
      <c r="X1543" s="32">
        <f>U1543/W1543</f>
        <v>2.5223741851122581</v>
      </c>
      <c r="Y1543" s="32">
        <f>(CPI!$B$112/O1543)*X1543</f>
        <v>3.0604832561573407</v>
      </c>
      <c r="Z1543" s="38" t="s">
        <v>303</v>
      </c>
      <c r="AA1543" s="35" t="s">
        <v>2239</v>
      </c>
      <c r="AB1543" s="32">
        <v>3845</v>
      </c>
      <c r="AH1543" s="32" t="s">
        <v>411</v>
      </c>
      <c r="AJ1543" s="35" t="s">
        <v>2242</v>
      </c>
      <c r="AK1543" s="40" t="s">
        <v>2243</v>
      </c>
      <c r="AL1543" s="32">
        <v>2013</v>
      </c>
      <c r="AM1543" s="32" t="s">
        <v>2244</v>
      </c>
      <c r="AN1543" s="32" t="s">
        <v>2245</v>
      </c>
      <c r="AO1543" s="38" t="s">
        <v>2246</v>
      </c>
      <c r="AP1543" s="35" t="s">
        <v>396</v>
      </c>
    </row>
    <row r="1544" spans="1:42" x14ac:dyDescent="0.2">
      <c r="A1544" s="40">
        <v>160</v>
      </c>
      <c r="B1544" s="40">
        <v>1543</v>
      </c>
      <c r="C1544" s="40" t="s">
        <v>119</v>
      </c>
      <c r="D1544" s="38" t="s">
        <v>128</v>
      </c>
      <c r="E1544" s="32" t="s">
        <v>2183</v>
      </c>
      <c r="F1544" s="32" t="s">
        <v>126</v>
      </c>
      <c r="G1544" s="38" t="s">
        <v>2910</v>
      </c>
      <c r="H1544" s="32" t="s">
        <v>151</v>
      </c>
      <c r="I1544" s="32" t="s">
        <v>243</v>
      </c>
      <c r="J1544" s="32" t="s">
        <v>2240</v>
      </c>
      <c r="K1544" s="32" t="s">
        <v>129</v>
      </c>
      <c r="L1544" s="32" t="s">
        <v>30</v>
      </c>
      <c r="M1544" s="32" t="s">
        <v>30</v>
      </c>
      <c r="N1544" s="40">
        <v>2006</v>
      </c>
      <c r="O1544" s="32">
        <f>VLOOKUP(Data!N129, CPI!$A$2:$B$112, 2, 0)</f>
        <v>251.107</v>
      </c>
      <c r="P1544" s="32" t="s">
        <v>238</v>
      </c>
      <c r="Q1544" s="32" t="s">
        <v>239</v>
      </c>
      <c r="R1544" s="32" t="s">
        <v>2235</v>
      </c>
      <c r="S1544" s="32">
        <f>3940/1.93</f>
        <v>2041.4507772020727</v>
      </c>
      <c r="T1544" s="32" t="s">
        <v>306</v>
      </c>
      <c r="U1544" s="32">
        <f>3940/1.93</f>
        <v>2041.4507772020727</v>
      </c>
      <c r="V1544" s="32" t="s">
        <v>306</v>
      </c>
      <c r="W1544" s="32">
        <f>VLOOKUP(N1544, 'Exchange rate-Kenya'!$A$3:$B$65, 2, 0)</f>
        <v>72.100835017862096</v>
      </c>
      <c r="X1544" s="32">
        <f>U1544/W1544</f>
        <v>28.31382988416609</v>
      </c>
      <c r="Y1544" s="32">
        <f>(CPI!$B$112/O1544)*X1544</f>
        <v>34.354142533504053</v>
      </c>
      <c r="Z1544" s="38" t="s">
        <v>303</v>
      </c>
      <c r="AA1544" s="35" t="s">
        <v>2239</v>
      </c>
      <c r="AB1544" s="32">
        <v>3845</v>
      </c>
      <c r="AH1544" s="32" t="s">
        <v>411</v>
      </c>
      <c r="AJ1544" s="35" t="s">
        <v>2242</v>
      </c>
      <c r="AK1544" s="40" t="s">
        <v>2243</v>
      </c>
      <c r="AL1544" s="32">
        <v>2013</v>
      </c>
      <c r="AM1544" s="32" t="s">
        <v>2244</v>
      </c>
      <c r="AN1544" s="32" t="s">
        <v>2245</v>
      </c>
      <c r="AO1544" s="38" t="s">
        <v>2246</v>
      </c>
      <c r="AP1544" s="35" t="s">
        <v>396</v>
      </c>
    </row>
    <row r="1545" spans="1:42" x14ac:dyDescent="0.2">
      <c r="A1545" s="40">
        <v>160</v>
      </c>
      <c r="B1545" s="40">
        <v>1544</v>
      </c>
      <c r="C1545" s="40" t="s">
        <v>119</v>
      </c>
      <c r="D1545" s="38" t="s">
        <v>128</v>
      </c>
      <c r="E1545" s="32" t="s">
        <v>2186</v>
      </c>
      <c r="F1545" s="32" t="s">
        <v>29</v>
      </c>
      <c r="G1545" s="38" t="s">
        <v>29</v>
      </c>
      <c r="H1545" s="32" t="s">
        <v>151</v>
      </c>
      <c r="I1545" s="32" t="s">
        <v>243</v>
      </c>
      <c r="J1545" s="32" t="s">
        <v>2240</v>
      </c>
      <c r="K1545" s="32" t="s">
        <v>129</v>
      </c>
      <c r="L1545" s="32" t="s">
        <v>30</v>
      </c>
      <c r="M1545" s="32" t="s">
        <v>30</v>
      </c>
      <c r="N1545" s="40">
        <v>2006</v>
      </c>
      <c r="O1545" s="32">
        <f>VLOOKUP(Data!N130, CPI!$A$2:$B$112, 2, 0)</f>
        <v>232.95699999999999</v>
      </c>
      <c r="P1545" s="32" t="s">
        <v>238</v>
      </c>
      <c r="Q1545" s="32" t="s">
        <v>239</v>
      </c>
      <c r="R1545" s="32" t="s">
        <v>2236</v>
      </c>
      <c r="S1545" s="32">
        <f>55/1.93</f>
        <v>28.497409326424872</v>
      </c>
      <c r="T1545" s="32" t="s">
        <v>306</v>
      </c>
      <c r="U1545" s="32">
        <f>55/1.93</f>
        <v>28.497409326424872</v>
      </c>
      <c r="V1545" s="32" t="s">
        <v>306</v>
      </c>
      <c r="W1545" s="32">
        <f>VLOOKUP(N1545, 'Exchange rate-Kenya'!$A$3:$B$65, 2, 0)</f>
        <v>72.100835017862096</v>
      </c>
      <c r="X1545" s="32">
        <f>U1545/W1545</f>
        <v>0.3952438181799835</v>
      </c>
      <c r="Y1545" s="32">
        <f>(CPI!$B$112/O1545)*X1545</f>
        <v>0.51692630820567009</v>
      </c>
      <c r="Z1545" s="38" t="s">
        <v>303</v>
      </c>
      <c r="AA1545" s="35" t="s">
        <v>2239</v>
      </c>
      <c r="AB1545" s="32">
        <v>3845</v>
      </c>
      <c r="AH1545" s="32" t="s">
        <v>411</v>
      </c>
      <c r="AJ1545" s="35" t="s">
        <v>2242</v>
      </c>
      <c r="AK1545" s="40" t="s">
        <v>2243</v>
      </c>
      <c r="AL1545" s="32">
        <v>2013</v>
      </c>
      <c r="AM1545" s="32" t="s">
        <v>2244</v>
      </c>
      <c r="AN1545" s="32" t="s">
        <v>2245</v>
      </c>
      <c r="AO1545" s="38" t="s">
        <v>2246</v>
      </c>
      <c r="AP1545" s="35" t="s">
        <v>396</v>
      </c>
    </row>
    <row r="1546" spans="1:42" x14ac:dyDescent="0.2">
      <c r="A1546" s="40">
        <v>160</v>
      </c>
      <c r="B1546" s="40">
        <v>1545</v>
      </c>
      <c r="C1546" s="40" t="s">
        <v>119</v>
      </c>
      <c r="D1546" s="38" t="s">
        <v>128</v>
      </c>
      <c r="E1546" s="32" t="s">
        <v>2183</v>
      </c>
      <c r="F1546" s="32" t="s">
        <v>126</v>
      </c>
      <c r="G1546" s="38" t="s">
        <v>153</v>
      </c>
      <c r="H1546" s="32" t="s">
        <v>151</v>
      </c>
      <c r="I1546" s="32" t="s">
        <v>243</v>
      </c>
      <c r="J1546" s="32" t="s">
        <v>2240</v>
      </c>
      <c r="K1546" s="32" t="s">
        <v>129</v>
      </c>
      <c r="L1546" s="32" t="s">
        <v>30</v>
      </c>
      <c r="M1546" s="32" t="s">
        <v>30</v>
      </c>
      <c r="N1546" s="40">
        <v>2006</v>
      </c>
      <c r="O1546" s="32">
        <f>VLOOKUP(Data!N131, CPI!$A$2:$B$112, 2, 0)</f>
        <v>232.95699999999999</v>
      </c>
      <c r="P1546" s="32" t="s">
        <v>238</v>
      </c>
      <c r="Q1546" s="32" t="s">
        <v>239</v>
      </c>
      <c r="R1546" s="32" t="s">
        <v>2238</v>
      </c>
      <c r="S1546" s="32">
        <f>608/1.93</f>
        <v>315.02590673575128</v>
      </c>
      <c r="T1546" s="32" t="s">
        <v>306</v>
      </c>
      <c r="U1546" s="32">
        <f>608/1.93</f>
        <v>315.02590673575128</v>
      </c>
      <c r="V1546" s="32" t="s">
        <v>306</v>
      </c>
      <c r="W1546" s="32">
        <f>VLOOKUP(N1546, 'Exchange rate-Kenya'!$A$3:$B$65, 2, 0)</f>
        <v>72.100835017862096</v>
      </c>
      <c r="X1546" s="32">
        <f>U1546/W1546</f>
        <v>4.3692407536987261</v>
      </c>
      <c r="Y1546" s="32">
        <f>(CPI!$B$112/O1546)*X1546</f>
        <v>5.7143853707099526</v>
      </c>
      <c r="Z1546" s="38" t="s">
        <v>303</v>
      </c>
      <c r="AA1546" s="35" t="s">
        <v>2239</v>
      </c>
      <c r="AB1546" s="32">
        <v>3845</v>
      </c>
      <c r="AH1546" s="32" t="s">
        <v>411</v>
      </c>
      <c r="AJ1546" s="35" t="s">
        <v>2294</v>
      </c>
      <c r="AK1546" s="40" t="s">
        <v>2243</v>
      </c>
      <c r="AL1546" s="32">
        <v>2013</v>
      </c>
      <c r="AM1546" s="32" t="s">
        <v>2244</v>
      </c>
      <c r="AN1546" s="32" t="s">
        <v>2245</v>
      </c>
      <c r="AO1546" s="38" t="s">
        <v>2246</v>
      </c>
      <c r="AP1546" s="35" t="s">
        <v>396</v>
      </c>
    </row>
    <row r="1547" spans="1:42" x14ac:dyDescent="0.2">
      <c r="A1547" s="40">
        <v>160</v>
      </c>
      <c r="B1547" s="40">
        <v>1546</v>
      </c>
      <c r="C1547" s="40" t="s">
        <v>119</v>
      </c>
      <c r="D1547" s="38" t="s">
        <v>128</v>
      </c>
      <c r="E1547" s="32" t="s">
        <v>2186</v>
      </c>
      <c r="F1547" s="32" t="s">
        <v>29</v>
      </c>
      <c r="G1547" s="38" t="s">
        <v>29</v>
      </c>
      <c r="H1547" s="32" t="s">
        <v>151</v>
      </c>
      <c r="I1547" s="32" t="s">
        <v>243</v>
      </c>
      <c r="J1547" s="32" t="s">
        <v>2240</v>
      </c>
      <c r="K1547" s="32" t="s">
        <v>129</v>
      </c>
      <c r="L1547" s="32" t="s">
        <v>30</v>
      </c>
      <c r="M1547" s="32" t="s">
        <v>30</v>
      </c>
      <c r="N1547" s="40">
        <v>2006</v>
      </c>
      <c r="O1547" s="32">
        <f>VLOOKUP(Data!N132, CPI!$A$2:$B$112, 2, 0)</f>
        <v>232.95699999999999</v>
      </c>
      <c r="P1547" s="32" t="s">
        <v>238</v>
      </c>
      <c r="Q1547" s="32" t="s">
        <v>239</v>
      </c>
      <c r="R1547" s="32" t="s">
        <v>2237</v>
      </c>
      <c r="S1547" s="32">
        <f>4954/1.93</f>
        <v>2566.8393782383419</v>
      </c>
      <c r="T1547" s="32" t="s">
        <v>306</v>
      </c>
      <c r="U1547" s="32">
        <f>4954/1.93</f>
        <v>2566.8393782383419</v>
      </c>
      <c r="V1547" s="32" t="s">
        <v>306</v>
      </c>
      <c r="W1547" s="32">
        <f>VLOOKUP(N1547, 'Exchange rate-Kenya'!$A$3:$B$65, 2, 0)</f>
        <v>72.100835017862096</v>
      </c>
      <c r="X1547" s="32">
        <f>U1547/W1547</f>
        <v>35.600688641157056</v>
      </c>
      <c r="Y1547" s="32">
        <f>(CPI!$B$112/O1547)*X1547</f>
        <v>46.560962379107082</v>
      </c>
      <c r="Z1547" s="38" t="s">
        <v>303</v>
      </c>
      <c r="AA1547" s="35" t="s">
        <v>2239</v>
      </c>
      <c r="AB1547" s="32">
        <v>3845</v>
      </c>
      <c r="AH1547" s="32" t="s">
        <v>411</v>
      </c>
      <c r="AJ1547" s="35" t="s">
        <v>2242</v>
      </c>
      <c r="AK1547" s="40" t="s">
        <v>2243</v>
      </c>
      <c r="AL1547" s="32">
        <v>2013</v>
      </c>
      <c r="AM1547" s="32" t="s">
        <v>2244</v>
      </c>
      <c r="AN1547" s="32" t="s">
        <v>2245</v>
      </c>
      <c r="AO1547" s="38" t="s">
        <v>2246</v>
      </c>
      <c r="AP1547" s="35" t="s">
        <v>396</v>
      </c>
    </row>
    <row r="1548" spans="1:42" x14ac:dyDescent="0.2">
      <c r="A1548" s="40">
        <v>161</v>
      </c>
      <c r="B1548" s="40">
        <v>1547</v>
      </c>
      <c r="C1548" s="40" t="s">
        <v>39</v>
      </c>
      <c r="D1548" s="38" t="s">
        <v>1997</v>
      </c>
      <c r="E1548" s="32" t="s">
        <v>2183</v>
      </c>
      <c r="F1548" s="32" t="s">
        <v>237</v>
      </c>
      <c r="G1548" s="38" t="s">
        <v>1923</v>
      </c>
      <c r="H1548" s="32" t="s">
        <v>151</v>
      </c>
      <c r="I1548" s="32" t="s">
        <v>243</v>
      </c>
      <c r="K1548" s="32" t="s">
        <v>129</v>
      </c>
      <c r="L1548" s="32" t="s">
        <v>2249</v>
      </c>
      <c r="M1548" s="32" t="s">
        <v>2248</v>
      </c>
      <c r="N1548" s="40">
        <v>2008</v>
      </c>
      <c r="O1548" s="32">
        <f>VLOOKUP(Data!N1038, CPI!$A$2:$B$112, 2, 0)</f>
        <v>232.95699999999999</v>
      </c>
      <c r="P1548" s="32" t="s">
        <v>7</v>
      </c>
      <c r="Q1548" s="32" t="s">
        <v>239</v>
      </c>
      <c r="R1548" s="32" t="s">
        <v>2247</v>
      </c>
      <c r="S1548" s="32">
        <f>169275</f>
        <v>169275</v>
      </c>
      <c r="T1548" s="32" t="s">
        <v>300</v>
      </c>
      <c r="U1548" s="32">
        <f>S1548/AB1548</f>
        <v>16927.5</v>
      </c>
      <c r="V1548" s="32" t="s">
        <v>316</v>
      </c>
      <c r="X1548" s="32">
        <f>U1548</f>
        <v>16927.5</v>
      </c>
      <c r="Y1548" s="32">
        <f>(CPI!$B$112/O1548)*X1548</f>
        <v>22138.916991655115</v>
      </c>
      <c r="Z1548" s="38" t="s">
        <v>262</v>
      </c>
      <c r="AA1548" s="35" t="s">
        <v>2250</v>
      </c>
      <c r="AB1548" s="32">
        <v>10</v>
      </c>
      <c r="AC1548" s="35" t="s">
        <v>2250</v>
      </c>
      <c r="AH1548" s="32" t="s">
        <v>411</v>
      </c>
      <c r="AI1548" s="32" t="s">
        <v>1539</v>
      </c>
      <c r="AJ1548" s="35" t="s">
        <v>2278</v>
      </c>
      <c r="AK1548" s="40" t="s">
        <v>2792</v>
      </c>
      <c r="AL1548" s="32">
        <v>2008</v>
      </c>
      <c r="AM1548" s="32" t="s">
        <v>2793</v>
      </c>
      <c r="AN1548" s="32" t="s">
        <v>2794</v>
      </c>
      <c r="AO1548" s="38" t="s">
        <v>2795</v>
      </c>
      <c r="AP1548" s="35" t="s">
        <v>396</v>
      </c>
    </row>
    <row r="1549" spans="1:42" x14ac:dyDescent="0.2">
      <c r="A1549" s="40">
        <v>162</v>
      </c>
      <c r="B1549" s="40">
        <v>1548</v>
      </c>
      <c r="C1549" s="40" t="s">
        <v>149</v>
      </c>
      <c r="D1549" s="54" t="s">
        <v>45</v>
      </c>
      <c r="E1549" s="32" t="s">
        <v>2183</v>
      </c>
      <c r="F1549" s="32" t="s">
        <v>237</v>
      </c>
      <c r="G1549" s="38" t="s">
        <v>154</v>
      </c>
      <c r="H1549" s="32" t="s">
        <v>151</v>
      </c>
      <c r="I1549" s="32" t="s">
        <v>120</v>
      </c>
      <c r="J1549" s="32" t="s">
        <v>2798</v>
      </c>
      <c r="K1549" s="32" t="s">
        <v>1513</v>
      </c>
      <c r="L1549" s="32" t="s">
        <v>30</v>
      </c>
      <c r="M1549" s="32" t="s">
        <v>30</v>
      </c>
      <c r="N1549" s="40">
        <v>2018</v>
      </c>
      <c r="O1549" s="32">
        <f>VLOOKUP(Data!N1039, CPI!$A$2:$B$112, 2, 0)</f>
        <v>232.95699999999999</v>
      </c>
      <c r="P1549" s="32" t="s">
        <v>7</v>
      </c>
      <c r="Q1549" s="32" t="s">
        <v>239</v>
      </c>
      <c r="R1549" s="32" t="s">
        <v>2797</v>
      </c>
      <c r="S1549" s="32">
        <v>8741</v>
      </c>
      <c r="T1549" s="32" t="s">
        <v>2796</v>
      </c>
      <c r="U1549" s="32">
        <f>S1549/AB1549</f>
        <v>4370.5</v>
      </c>
      <c r="V1549" s="32" t="s">
        <v>316</v>
      </c>
      <c r="X1549" s="32">
        <f>U1549</f>
        <v>4370.5</v>
      </c>
      <c r="Y1549" s="32">
        <f>(CPI!$B$112/O1549)*X1549</f>
        <v>5716.0322972694539</v>
      </c>
      <c r="Z1549" s="38" t="s">
        <v>262</v>
      </c>
      <c r="AA1549" s="35" t="s">
        <v>2269</v>
      </c>
      <c r="AB1549" s="32">
        <v>2</v>
      </c>
      <c r="AC1549" s="32" t="s">
        <v>2286</v>
      </c>
      <c r="AH1549" s="32" t="s">
        <v>411</v>
      </c>
      <c r="AJ1549" s="35" t="s">
        <v>2799</v>
      </c>
      <c r="AK1549" s="40" t="s">
        <v>2800</v>
      </c>
      <c r="AL1549" s="32">
        <v>2020</v>
      </c>
      <c r="AM1549" s="32" t="s">
        <v>2801</v>
      </c>
      <c r="AN1549" s="32" t="s">
        <v>2802</v>
      </c>
      <c r="AO1549" s="38" t="s">
        <v>2803</v>
      </c>
      <c r="AP1549" s="35" t="s">
        <v>396</v>
      </c>
    </row>
    <row r="1550" spans="1:42" x14ac:dyDescent="0.2">
      <c r="A1550" s="40">
        <v>163</v>
      </c>
      <c r="B1550" s="40">
        <v>1549</v>
      </c>
      <c r="C1550" s="40" t="s">
        <v>114</v>
      </c>
      <c r="D1550" s="38" t="s">
        <v>218</v>
      </c>
      <c r="E1550" s="32" t="s">
        <v>2186</v>
      </c>
      <c r="F1550" s="32" t="s">
        <v>29</v>
      </c>
      <c r="G1550" s="38" t="s">
        <v>29</v>
      </c>
      <c r="H1550" s="32" t="s">
        <v>242</v>
      </c>
      <c r="I1550" s="32" t="s">
        <v>137</v>
      </c>
      <c r="J1550" s="32" t="s">
        <v>1513</v>
      </c>
      <c r="K1550" s="32" t="s">
        <v>1513</v>
      </c>
      <c r="L1550" s="32" t="s">
        <v>30</v>
      </c>
      <c r="M1550" s="32" t="s">
        <v>30</v>
      </c>
      <c r="N1550" s="40">
        <v>2005</v>
      </c>
      <c r="O1550" s="32">
        <f>VLOOKUP(Data!N1040, CPI!$A$2:$B$112, 2, 0)</f>
        <v>232.95699999999999</v>
      </c>
      <c r="P1550" s="32" t="s">
        <v>56</v>
      </c>
      <c r="Q1550" s="32" t="s">
        <v>239</v>
      </c>
      <c r="R1550" s="32" t="s">
        <v>2805</v>
      </c>
      <c r="S1550" s="32">
        <v>3.3</v>
      </c>
      <c r="T1550" s="32" t="s">
        <v>316</v>
      </c>
      <c r="U1550" s="32">
        <v>3.3</v>
      </c>
      <c r="V1550" s="32" t="s">
        <v>316</v>
      </c>
      <c r="X1550" s="32">
        <f>U1550</f>
        <v>3.3</v>
      </c>
      <c r="Y1550" s="32">
        <f>(CPI!$B$112/O1550)*X1550</f>
        <v>4.3159607781693614</v>
      </c>
      <c r="Z1550" s="38" t="s">
        <v>262</v>
      </c>
      <c r="AA1550" s="35" t="s">
        <v>2804</v>
      </c>
      <c r="AB1550" s="32" t="s">
        <v>30</v>
      </c>
      <c r="AH1550" s="32" t="s">
        <v>411</v>
      </c>
      <c r="AK1550" s="40" t="s">
        <v>2806</v>
      </c>
      <c r="AL1550" s="32">
        <v>2009</v>
      </c>
      <c r="AM1550" s="32" t="s">
        <v>2807</v>
      </c>
      <c r="AN1550" s="32" t="s">
        <v>2808</v>
      </c>
      <c r="AO1550" s="38" t="s">
        <v>2809</v>
      </c>
      <c r="AP1550" s="35" t="s">
        <v>396</v>
      </c>
    </row>
    <row r="1551" spans="1:42" x14ac:dyDescent="0.2">
      <c r="A1551" s="40">
        <v>164</v>
      </c>
      <c r="B1551" s="40">
        <v>1550</v>
      </c>
      <c r="C1551" s="40" t="s">
        <v>39</v>
      </c>
      <c r="D1551" s="38" t="s">
        <v>38</v>
      </c>
      <c r="E1551" s="32" t="s">
        <v>2183</v>
      </c>
      <c r="F1551" s="32" t="s">
        <v>237</v>
      </c>
      <c r="G1551" s="38" t="s">
        <v>1923</v>
      </c>
      <c r="H1551" s="32" t="s">
        <v>151</v>
      </c>
      <c r="I1551" s="32" t="s">
        <v>243</v>
      </c>
      <c r="J1551" s="32" t="s">
        <v>2810</v>
      </c>
      <c r="K1551" s="32" t="s">
        <v>1513</v>
      </c>
      <c r="L1551" s="32" t="s">
        <v>30</v>
      </c>
      <c r="M1551" s="32" t="s">
        <v>30</v>
      </c>
      <c r="N1551" s="40">
        <v>2007</v>
      </c>
      <c r="O1551" s="32">
        <f>VLOOKUP(Data!N1291, CPI!$A$2:$B$112, 2, 0)</f>
        <v>258.81099999999998</v>
      </c>
      <c r="P1551" s="32" t="s">
        <v>238</v>
      </c>
      <c r="Q1551" s="32" t="s">
        <v>239</v>
      </c>
      <c r="R1551" s="32" t="s">
        <v>2812</v>
      </c>
      <c r="S1551" s="32">
        <v>970007</v>
      </c>
      <c r="T1551" s="32" t="s">
        <v>1698</v>
      </c>
      <c r="U1551" s="32">
        <f>S1551/AB1551</f>
        <v>12125087.5</v>
      </c>
      <c r="V1551" s="32" t="s">
        <v>1487</v>
      </c>
      <c r="W1551" s="32">
        <f>VLOOKUP(N1551, 'Exchange rate- Vietnam'!$A$2:$B$65, 2, 0)</f>
        <v>16105.125</v>
      </c>
      <c r="X1551" s="32">
        <f t="shared" ref="X1551:X1557" si="102">U1551/W1551</f>
        <v>752.87136858608676</v>
      </c>
      <c r="Y1551" s="32">
        <f>(CPI!$B$112/O1551)*X1551</f>
        <v>886.2930932180667</v>
      </c>
      <c r="Z1551" s="38" t="s">
        <v>1609</v>
      </c>
      <c r="AA1551" s="35" t="s">
        <v>1445</v>
      </c>
      <c r="AB1551" s="32">
        <v>0.08</v>
      </c>
      <c r="AC1551" s="32" t="s">
        <v>1445</v>
      </c>
      <c r="AH1551" s="32" t="s">
        <v>411</v>
      </c>
      <c r="AJ1551" s="35" t="s">
        <v>2739</v>
      </c>
      <c r="AK1551" s="40" t="s">
        <v>2814</v>
      </c>
      <c r="AL1551" s="32">
        <v>2013</v>
      </c>
      <c r="AM1551" s="32" t="s">
        <v>2815</v>
      </c>
      <c r="AN1551" s="32" t="s">
        <v>2816</v>
      </c>
      <c r="AO1551" s="38" t="s">
        <v>2817</v>
      </c>
      <c r="AP1551" s="35" t="s">
        <v>396</v>
      </c>
    </row>
    <row r="1552" spans="1:42" x14ac:dyDescent="0.2">
      <c r="A1552" s="40">
        <v>164</v>
      </c>
      <c r="B1552" s="40">
        <v>1551</v>
      </c>
      <c r="C1552" s="40" t="s">
        <v>39</v>
      </c>
      <c r="D1552" s="38" t="s">
        <v>38</v>
      </c>
      <c r="E1552" s="32" t="s">
        <v>2183</v>
      </c>
      <c r="F1552" s="32" t="s">
        <v>237</v>
      </c>
      <c r="G1552" s="38" t="s">
        <v>1923</v>
      </c>
      <c r="H1552" s="32" t="s">
        <v>151</v>
      </c>
      <c r="I1552" s="32" t="s">
        <v>243</v>
      </c>
      <c r="J1552" s="32" t="s">
        <v>2811</v>
      </c>
      <c r="K1552" s="32" t="s">
        <v>1513</v>
      </c>
      <c r="L1552" s="32" t="s">
        <v>30</v>
      </c>
      <c r="M1552" s="32" t="s">
        <v>30</v>
      </c>
      <c r="N1552" s="40">
        <v>2007</v>
      </c>
      <c r="O1552" s="32">
        <f>VLOOKUP(Data!N1292, CPI!$A$2:$B$112, 2, 0)</f>
        <v>258.81099999999998</v>
      </c>
      <c r="P1552" s="32" t="s">
        <v>238</v>
      </c>
      <c r="Q1552" s="32" t="s">
        <v>239</v>
      </c>
      <c r="R1552" s="32" t="s">
        <v>2813</v>
      </c>
      <c r="S1552" s="32">
        <v>25787012</v>
      </c>
      <c r="T1552" s="32" t="s">
        <v>1698</v>
      </c>
      <c r="U1552" s="32">
        <f>S1552/AB1552</f>
        <v>112117443.47826086</v>
      </c>
      <c r="V1552" s="32" t="s">
        <v>1487</v>
      </c>
      <c r="W1552" s="32">
        <f>VLOOKUP(N1552, 'Exchange rate- Vietnam'!$A$2:$B$65, 2, 0)</f>
        <v>16105.125</v>
      </c>
      <c r="X1552" s="32">
        <f t="shared" si="102"/>
        <v>6961.6003277379632</v>
      </c>
      <c r="Y1552" s="32">
        <f>(CPI!$B$112/O1552)*X1552</f>
        <v>8195.3153562025491</v>
      </c>
      <c r="Z1552" s="38" t="s">
        <v>1609</v>
      </c>
      <c r="AA1552" s="35" t="s">
        <v>1445</v>
      </c>
      <c r="AB1552" s="32">
        <v>0.23</v>
      </c>
      <c r="AC1552" s="32" t="s">
        <v>1445</v>
      </c>
      <c r="AH1552" s="32" t="s">
        <v>411</v>
      </c>
      <c r="AJ1552" s="35" t="s">
        <v>2739</v>
      </c>
      <c r="AK1552" s="40" t="s">
        <v>2814</v>
      </c>
      <c r="AL1552" s="32">
        <v>2013</v>
      </c>
      <c r="AM1552" s="32" t="s">
        <v>2815</v>
      </c>
      <c r="AN1552" s="32" t="s">
        <v>2816</v>
      </c>
      <c r="AO1552" s="38" t="s">
        <v>2817</v>
      </c>
      <c r="AP1552" s="35" t="s">
        <v>396</v>
      </c>
    </row>
    <row r="1553" spans="1:42" x14ac:dyDescent="0.2">
      <c r="A1553" s="40">
        <v>164</v>
      </c>
      <c r="B1553" s="40">
        <v>1552</v>
      </c>
      <c r="C1553" s="40" t="s">
        <v>39</v>
      </c>
      <c r="D1553" s="38" t="s">
        <v>38</v>
      </c>
      <c r="E1553" s="32" t="s">
        <v>2183</v>
      </c>
      <c r="F1553" s="32" t="s">
        <v>237</v>
      </c>
      <c r="G1553" s="38" t="s">
        <v>1923</v>
      </c>
      <c r="H1553" s="32" t="s">
        <v>151</v>
      </c>
      <c r="I1553" s="32" t="s">
        <v>243</v>
      </c>
      <c r="J1553" s="32" t="s">
        <v>2810</v>
      </c>
      <c r="K1553" s="32" t="s">
        <v>1513</v>
      </c>
      <c r="L1553" s="32" t="s">
        <v>30</v>
      </c>
      <c r="M1553" s="32" t="s">
        <v>30</v>
      </c>
      <c r="N1553" s="40">
        <v>2011</v>
      </c>
      <c r="O1553" s="32">
        <f>VLOOKUP(Data!N1293, CPI!$A$2:$B$112, 2, 0)</f>
        <v>258.81099999999998</v>
      </c>
      <c r="P1553" s="32" t="s">
        <v>238</v>
      </c>
      <c r="Q1553" s="32" t="s">
        <v>239</v>
      </c>
      <c r="R1553" s="32" t="s">
        <v>2812</v>
      </c>
      <c r="S1553" s="32">
        <v>6780625</v>
      </c>
      <c r="T1553" s="32" t="s">
        <v>1698</v>
      </c>
      <c r="U1553" s="32">
        <f>S1553/AB1553</f>
        <v>84757812.5</v>
      </c>
      <c r="V1553" s="32" t="s">
        <v>1487</v>
      </c>
      <c r="W1553" s="32">
        <f>VLOOKUP(N1553, 'Exchange rate- Vietnam'!$A$2:$B$65, 2, 0)</f>
        <v>20509.75</v>
      </c>
      <c r="X1553" s="32">
        <f t="shared" si="102"/>
        <v>4132.5619522422267</v>
      </c>
      <c r="Y1553" s="32">
        <f>(CPI!$B$112/O1553)*X1553</f>
        <v>4864.9228386073901</v>
      </c>
      <c r="Z1553" s="38" t="s">
        <v>1609</v>
      </c>
      <c r="AA1553" s="35" t="s">
        <v>1445</v>
      </c>
      <c r="AB1553" s="32">
        <v>0.08</v>
      </c>
      <c r="AC1553" s="32" t="s">
        <v>1445</v>
      </c>
      <c r="AH1553" s="32" t="s">
        <v>411</v>
      </c>
      <c r="AJ1553" s="35" t="s">
        <v>2739</v>
      </c>
      <c r="AK1553" s="40" t="s">
        <v>2814</v>
      </c>
      <c r="AL1553" s="32">
        <v>2013</v>
      </c>
      <c r="AM1553" s="32" t="s">
        <v>2815</v>
      </c>
      <c r="AN1553" s="32" t="s">
        <v>2816</v>
      </c>
      <c r="AO1553" s="38" t="s">
        <v>2817</v>
      </c>
      <c r="AP1553" s="35" t="s">
        <v>396</v>
      </c>
    </row>
    <row r="1554" spans="1:42" x14ac:dyDescent="0.2">
      <c r="A1554" s="40">
        <v>164</v>
      </c>
      <c r="B1554" s="40">
        <v>1553</v>
      </c>
      <c r="C1554" s="40" t="s">
        <v>39</v>
      </c>
      <c r="D1554" s="38" t="s">
        <v>38</v>
      </c>
      <c r="E1554" s="32" t="s">
        <v>2183</v>
      </c>
      <c r="F1554" s="32" t="s">
        <v>237</v>
      </c>
      <c r="G1554" s="38" t="s">
        <v>1923</v>
      </c>
      <c r="H1554" s="32" t="s">
        <v>151</v>
      </c>
      <c r="I1554" s="32" t="s">
        <v>243</v>
      </c>
      <c r="J1554" s="32" t="s">
        <v>2811</v>
      </c>
      <c r="K1554" s="32" t="s">
        <v>1513</v>
      </c>
      <c r="L1554" s="32" t="s">
        <v>30</v>
      </c>
      <c r="M1554" s="32" t="s">
        <v>30</v>
      </c>
      <c r="N1554" s="40">
        <v>2011</v>
      </c>
      <c r="O1554" s="32">
        <f>VLOOKUP(Data!N1294, CPI!$A$2:$B$112, 2, 0)</f>
        <v>258.81099999999998</v>
      </c>
      <c r="P1554" s="32" t="s">
        <v>238</v>
      </c>
      <c r="Q1554" s="32" t="s">
        <v>239</v>
      </c>
      <c r="R1554" s="32" t="s">
        <v>2813</v>
      </c>
      <c r="S1554" s="32">
        <v>66906250</v>
      </c>
      <c r="T1554" s="32" t="s">
        <v>1698</v>
      </c>
      <c r="U1554" s="32">
        <f>S1554/AB1554</f>
        <v>290896739.13043475</v>
      </c>
      <c r="V1554" s="32" t="s">
        <v>1487</v>
      </c>
      <c r="W1554" s="32">
        <f>VLOOKUP(N1554, 'Exchange rate- Vietnam'!$A$2:$B$65, 2, 0)</f>
        <v>20509.75</v>
      </c>
      <c r="X1554" s="32">
        <f t="shared" si="102"/>
        <v>14183.339101180401</v>
      </c>
      <c r="Y1554" s="32">
        <f>(CPI!$B$112/O1554)*X1554</f>
        <v>16696.87015426534</v>
      </c>
      <c r="Z1554" s="38" t="s">
        <v>1609</v>
      </c>
      <c r="AA1554" s="35" t="s">
        <v>1445</v>
      </c>
      <c r="AB1554" s="32">
        <v>0.23</v>
      </c>
      <c r="AC1554" s="32" t="s">
        <v>1445</v>
      </c>
      <c r="AH1554" s="32" t="s">
        <v>411</v>
      </c>
      <c r="AJ1554" s="35" t="s">
        <v>2739</v>
      </c>
      <c r="AK1554" s="40" t="s">
        <v>2814</v>
      </c>
      <c r="AL1554" s="32">
        <v>2013</v>
      </c>
      <c r="AM1554" s="32" t="s">
        <v>2815</v>
      </c>
      <c r="AN1554" s="32" t="s">
        <v>2816</v>
      </c>
      <c r="AO1554" s="38" t="s">
        <v>2817</v>
      </c>
      <c r="AP1554" s="35" t="s">
        <v>396</v>
      </c>
    </row>
    <row r="1555" spans="1:42" x14ac:dyDescent="0.2">
      <c r="A1555" s="40">
        <v>165</v>
      </c>
      <c r="B1555" s="40">
        <v>1554</v>
      </c>
      <c r="C1555" s="40" t="s">
        <v>119</v>
      </c>
      <c r="D1555" s="38" t="s">
        <v>128</v>
      </c>
      <c r="E1555" s="32" t="s">
        <v>2186</v>
      </c>
      <c r="F1555" s="32" t="s">
        <v>29</v>
      </c>
      <c r="G1555" s="38" t="s">
        <v>29</v>
      </c>
      <c r="H1555" s="32" t="s">
        <v>151</v>
      </c>
      <c r="I1555" s="32" t="s">
        <v>243</v>
      </c>
      <c r="J1555" s="32" t="s">
        <v>2818</v>
      </c>
      <c r="K1555" s="32" t="s">
        <v>1513</v>
      </c>
      <c r="L1555" s="32" t="s">
        <v>30</v>
      </c>
      <c r="M1555" s="32" t="s">
        <v>30</v>
      </c>
      <c r="N1555" s="40">
        <v>2017</v>
      </c>
      <c r="O1555" s="32">
        <f>VLOOKUP(Data!N1295, CPI!$A$2:$B$112, 2, 0)</f>
        <v>251.107</v>
      </c>
      <c r="P1555" s="32" t="s">
        <v>21</v>
      </c>
      <c r="Q1555" s="32" t="s">
        <v>239</v>
      </c>
      <c r="R1555" s="32" t="s">
        <v>2824</v>
      </c>
      <c r="S1555" s="32">
        <v>4210000</v>
      </c>
      <c r="T1555" s="32" t="s">
        <v>2820</v>
      </c>
      <c r="U1555" s="32">
        <f>(S1555*AE1555)/AB1555</f>
        <v>960457.0385659138</v>
      </c>
      <c r="V1555" s="32" t="s">
        <v>1487</v>
      </c>
      <c r="W1555" s="32">
        <f>VLOOKUP(N1555, 'Exchange rate- Vietnam'!$A$2:$B$65, 2, 0)</f>
        <v>22370.086666666699</v>
      </c>
      <c r="X1555" s="32">
        <f t="shared" si="102"/>
        <v>42.934882321983814</v>
      </c>
      <c r="Y1555" s="32">
        <f>(CPI!$B$112/O1555)*X1555</f>
        <v>52.094367769494617</v>
      </c>
      <c r="Z1555" s="38" t="s">
        <v>1609</v>
      </c>
      <c r="AA1555" s="35" t="s">
        <v>1445</v>
      </c>
      <c r="AB1555" s="32">
        <f>0.36*3060</f>
        <v>1101.5999999999999</v>
      </c>
      <c r="AC1555" s="32" t="s">
        <v>2819</v>
      </c>
      <c r="AE1555" s="32">
        <f>(33/0.44)+(33/0.38)+(34/0.38)</f>
        <v>251.31578947368422</v>
      </c>
      <c r="AF1555" s="32" t="s">
        <v>2826</v>
      </c>
      <c r="AH1555" s="32" t="s">
        <v>411</v>
      </c>
      <c r="AI1555" s="32" t="s">
        <v>2823</v>
      </c>
      <c r="AK1555" s="40" t="s">
        <v>2830</v>
      </c>
      <c r="AL1555" s="32">
        <v>2020</v>
      </c>
      <c r="AM1555" s="32" t="s">
        <v>2831</v>
      </c>
      <c r="AN1555" s="32" t="s">
        <v>2832</v>
      </c>
      <c r="AO1555" s="38" t="s">
        <v>2833</v>
      </c>
      <c r="AP1555" s="35" t="s">
        <v>396</v>
      </c>
    </row>
    <row r="1556" spans="1:42" x14ac:dyDescent="0.2">
      <c r="A1556" s="40">
        <v>165</v>
      </c>
      <c r="B1556" s="40">
        <v>1555</v>
      </c>
      <c r="C1556" s="40" t="s">
        <v>119</v>
      </c>
      <c r="D1556" s="38" t="s">
        <v>128</v>
      </c>
      <c r="E1556" s="32" t="s">
        <v>2183</v>
      </c>
      <c r="F1556" s="32" t="s">
        <v>237</v>
      </c>
      <c r="G1556" s="38" t="s">
        <v>1923</v>
      </c>
      <c r="H1556" s="32" t="s">
        <v>151</v>
      </c>
      <c r="I1556" s="32" t="s">
        <v>243</v>
      </c>
      <c r="J1556" s="32" t="s">
        <v>2818</v>
      </c>
      <c r="K1556" s="32" t="s">
        <v>1513</v>
      </c>
      <c r="L1556" s="32" t="s">
        <v>30</v>
      </c>
      <c r="M1556" s="32" t="s">
        <v>30</v>
      </c>
      <c r="N1556" s="40">
        <v>2017</v>
      </c>
      <c r="O1556" s="32">
        <f>VLOOKUP(Data!N1296, CPI!$A$2:$B$112, 2, 0)</f>
        <v>251.107</v>
      </c>
      <c r="P1556" s="32" t="s">
        <v>21</v>
      </c>
      <c r="Q1556" s="32" t="s">
        <v>239</v>
      </c>
      <c r="R1556" s="32" t="s">
        <v>2821</v>
      </c>
      <c r="S1556" s="32">
        <v>3630000</v>
      </c>
      <c r="T1556" s="32" t="s">
        <v>2820</v>
      </c>
      <c r="U1556" s="32">
        <f t="shared" ref="U1556:U1562" si="103">S1556/AB1556</f>
        <v>915126.05042016809</v>
      </c>
      <c r="V1556" s="32" t="s">
        <v>1487</v>
      </c>
      <c r="W1556" s="32">
        <f>VLOOKUP(N1556, 'Exchange rate- Vietnam'!$A$2:$B$65, 2, 0)</f>
        <v>22370.086666666699</v>
      </c>
      <c r="X1556" s="32">
        <f t="shared" si="102"/>
        <v>40.908471391118141</v>
      </c>
      <c r="Y1556" s="32">
        <f>(CPI!$B$112/O1556)*X1556</f>
        <v>49.635653768767327</v>
      </c>
      <c r="Z1556" s="38" t="s">
        <v>1609</v>
      </c>
      <c r="AA1556" s="35" t="s">
        <v>1445</v>
      </c>
      <c r="AB1556" s="32">
        <f>(3.2+4.2+4.5)/3</f>
        <v>3.9666666666666668</v>
      </c>
      <c r="AC1556" s="32" t="s">
        <v>2825</v>
      </c>
      <c r="AE1556" s="32">
        <f>(33/0.44)+(33/0.38)+(34/0.38)</f>
        <v>251.31578947368422</v>
      </c>
      <c r="AF1556" s="32" t="s">
        <v>2826</v>
      </c>
      <c r="AH1556" s="32" t="s">
        <v>411</v>
      </c>
      <c r="AI1556" s="32" t="s">
        <v>2823</v>
      </c>
      <c r="AJ1556" s="35" t="s">
        <v>2827</v>
      </c>
      <c r="AK1556" s="40" t="s">
        <v>2830</v>
      </c>
      <c r="AL1556" s="32">
        <v>2020</v>
      </c>
      <c r="AM1556" s="32" t="s">
        <v>2831</v>
      </c>
      <c r="AN1556" s="32" t="s">
        <v>2832</v>
      </c>
      <c r="AO1556" s="38" t="s">
        <v>2833</v>
      </c>
      <c r="AP1556" s="35" t="s">
        <v>396</v>
      </c>
    </row>
    <row r="1557" spans="1:42" x14ac:dyDescent="0.2">
      <c r="A1557" s="40">
        <v>165</v>
      </c>
      <c r="B1557" s="40">
        <v>1556</v>
      </c>
      <c r="C1557" s="40" t="s">
        <v>119</v>
      </c>
      <c r="D1557" s="38" t="s">
        <v>128</v>
      </c>
      <c r="E1557" s="32" t="s">
        <v>2186</v>
      </c>
      <c r="F1557" s="32" t="s">
        <v>29</v>
      </c>
      <c r="G1557" s="38" t="s">
        <v>29</v>
      </c>
      <c r="H1557" s="32" t="s">
        <v>151</v>
      </c>
      <c r="I1557" s="32" t="s">
        <v>243</v>
      </c>
      <c r="J1557" s="32" t="s">
        <v>2818</v>
      </c>
      <c r="K1557" s="32" t="s">
        <v>1513</v>
      </c>
      <c r="L1557" s="32" t="s">
        <v>30</v>
      </c>
      <c r="M1557" s="32" t="s">
        <v>30</v>
      </c>
      <c r="N1557" s="40">
        <v>2017</v>
      </c>
      <c r="O1557" s="32">
        <f>VLOOKUP(Data!N1297, CPI!$A$2:$B$112, 2, 0)</f>
        <v>251.107</v>
      </c>
      <c r="P1557" s="32" t="s">
        <v>21</v>
      </c>
      <c r="Q1557" s="32" t="s">
        <v>239</v>
      </c>
      <c r="R1557" s="32" t="s">
        <v>2822</v>
      </c>
      <c r="S1557" s="32">
        <v>16960000</v>
      </c>
      <c r="T1557" s="32" t="s">
        <v>2820</v>
      </c>
      <c r="U1557" s="32">
        <f t="shared" si="103"/>
        <v>6498.0842911877398</v>
      </c>
      <c r="V1557" s="32" t="s">
        <v>1487</v>
      </c>
      <c r="W1557" s="32">
        <f>VLOOKUP(N1557, 'Exchange rate- Vietnam'!$A$2:$B$65, 2, 0)</f>
        <v>22370.086666666699</v>
      </c>
      <c r="X1557" s="32">
        <f t="shared" si="102"/>
        <v>0.29048096183151711</v>
      </c>
      <c r="Y1557" s="32">
        <f>(CPI!$B$112/O1557)*X1557</f>
        <v>0.35245053060130022</v>
      </c>
      <c r="Z1557" s="38" t="s">
        <v>1609</v>
      </c>
      <c r="AA1557" s="35" t="s">
        <v>1445</v>
      </c>
      <c r="AB1557" s="32">
        <v>2610</v>
      </c>
      <c r="AC1557" s="32" t="s">
        <v>2828</v>
      </c>
      <c r="AE1557" s="32">
        <f>(33/0.44)+(33/0.38)+(34/0.38)</f>
        <v>251.31578947368422</v>
      </c>
      <c r="AF1557" s="32" t="s">
        <v>2826</v>
      </c>
      <c r="AH1557" s="32" t="s">
        <v>411</v>
      </c>
      <c r="AI1557" s="32" t="s">
        <v>2823</v>
      </c>
      <c r="AJ1557" s="35" t="s">
        <v>2829</v>
      </c>
      <c r="AK1557" s="40" t="s">
        <v>2830</v>
      </c>
      <c r="AL1557" s="32">
        <v>2020</v>
      </c>
      <c r="AM1557" s="32" t="s">
        <v>2831</v>
      </c>
      <c r="AN1557" s="32" t="s">
        <v>2832</v>
      </c>
      <c r="AO1557" s="38" t="s">
        <v>2833</v>
      </c>
      <c r="AP1557" s="35" t="s">
        <v>396</v>
      </c>
    </row>
    <row r="1558" spans="1:42" x14ac:dyDescent="0.2">
      <c r="A1558" s="40">
        <v>166</v>
      </c>
      <c r="B1558" s="40">
        <v>1558</v>
      </c>
      <c r="C1558" s="40" t="s">
        <v>119</v>
      </c>
      <c r="D1558" s="38" t="s">
        <v>128</v>
      </c>
      <c r="E1558" s="32" t="s">
        <v>2186</v>
      </c>
      <c r="F1558" s="32" t="s">
        <v>29</v>
      </c>
      <c r="G1558" s="38" t="s">
        <v>29</v>
      </c>
      <c r="H1558" s="32" t="s">
        <v>242</v>
      </c>
      <c r="I1558" s="32" t="s">
        <v>243</v>
      </c>
      <c r="J1558" s="32" t="s">
        <v>2834</v>
      </c>
      <c r="K1558" s="32" t="s">
        <v>1513</v>
      </c>
      <c r="L1558" s="32" t="s">
        <v>30</v>
      </c>
      <c r="M1558" s="32" t="s">
        <v>30</v>
      </c>
      <c r="N1558" s="40">
        <v>2016</v>
      </c>
      <c r="O1558" s="32">
        <f>VLOOKUP(Data!N1298, CPI!$A$2:$B$112, 2, 0)</f>
        <v>251.107</v>
      </c>
      <c r="P1558" s="32" t="s">
        <v>56</v>
      </c>
      <c r="Q1558" s="32" t="s">
        <v>239</v>
      </c>
      <c r="R1558" s="32" t="s">
        <v>2835</v>
      </c>
      <c r="S1558" s="32">
        <v>125000000000</v>
      </c>
      <c r="T1558" s="32" t="s">
        <v>1385</v>
      </c>
      <c r="U1558" s="32">
        <f t="shared" si="103"/>
        <v>589622.64150943398</v>
      </c>
      <c r="V1558" s="32" t="s">
        <v>1487</v>
      </c>
      <c r="W1558" s="32">
        <f>VLOOKUP(N1558, 'Exchange rate- Vietnam'!$A$2:$B$65, 2, 0)</f>
        <v>21935.000833333299</v>
      </c>
      <c r="X1558" s="32">
        <f t="shared" ref="X1558:X1566" si="104">U1558/W1558</f>
        <v>26.880447645728829</v>
      </c>
      <c r="Y1558" s="32">
        <f>(CPI!$B$112/O1558)*X1558</f>
        <v>32.614970619081951</v>
      </c>
      <c r="Z1558" s="38" t="s">
        <v>1609</v>
      </c>
      <c r="AA1558" s="35" t="s">
        <v>2836</v>
      </c>
      <c r="AB1558" s="32">
        <v>212000</v>
      </c>
      <c r="AC1558" s="32" t="s">
        <v>2837</v>
      </c>
      <c r="AH1558" s="32" t="s">
        <v>411</v>
      </c>
      <c r="AJ1558" s="35" t="s">
        <v>2829</v>
      </c>
      <c r="AK1558" s="40" t="s">
        <v>2838</v>
      </c>
      <c r="AL1558" s="32">
        <v>2022</v>
      </c>
      <c r="AM1558" s="32" t="s">
        <v>2839</v>
      </c>
      <c r="AN1558" s="32" t="s">
        <v>2840</v>
      </c>
      <c r="AO1558" s="38" t="s">
        <v>2833</v>
      </c>
      <c r="AP1558" s="35" t="s">
        <v>396</v>
      </c>
    </row>
    <row r="1559" spans="1:42" x14ac:dyDescent="0.2">
      <c r="A1559" s="40">
        <v>166</v>
      </c>
      <c r="B1559" s="40">
        <v>1559</v>
      </c>
      <c r="C1559" s="40" t="s">
        <v>119</v>
      </c>
      <c r="D1559" s="38" t="s">
        <v>128</v>
      </c>
      <c r="E1559" s="32" t="s">
        <v>2186</v>
      </c>
      <c r="F1559" s="32" t="s">
        <v>29</v>
      </c>
      <c r="G1559" s="38" t="s">
        <v>29</v>
      </c>
      <c r="H1559" s="32" t="s">
        <v>242</v>
      </c>
      <c r="I1559" s="32" t="s">
        <v>243</v>
      </c>
      <c r="J1559" s="32" t="s">
        <v>2834</v>
      </c>
      <c r="K1559" s="32" t="s">
        <v>1513</v>
      </c>
      <c r="L1559" s="32" t="s">
        <v>30</v>
      </c>
      <c r="M1559" s="32" t="s">
        <v>30</v>
      </c>
      <c r="N1559" s="40">
        <v>2017</v>
      </c>
      <c r="O1559" s="32">
        <f>VLOOKUP(Data!N1299, CPI!$A$2:$B$112, 2, 0)</f>
        <v>251.107</v>
      </c>
      <c r="P1559" s="32" t="s">
        <v>56</v>
      </c>
      <c r="Q1559" s="32" t="s">
        <v>239</v>
      </c>
      <c r="R1559" s="32" t="s">
        <v>2835</v>
      </c>
      <c r="S1559" s="32">
        <v>115000000000</v>
      </c>
      <c r="T1559" s="32" t="s">
        <v>1385</v>
      </c>
      <c r="U1559" s="32">
        <f t="shared" si="103"/>
        <v>534883.72093023255</v>
      </c>
      <c r="V1559" s="32" t="s">
        <v>1487</v>
      </c>
      <c r="W1559" s="32">
        <f>VLOOKUP(N1559, 'Exchange rate- Vietnam'!$A$2:$B$65, 2, 0)</f>
        <v>22370.086666666699</v>
      </c>
      <c r="X1559" s="32">
        <f t="shared" si="104"/>
        <v>23.910668246415604</v>
      </c>
      <c r="Y1559" s="32">
        <f>(CPI!$B$112/O1559)*X1559</f>
        <v>29.011635245716395</v>
      </c>
      <c r="Z1559" s="38" t="s">
        <v>1609</v>
      </c>
      <c r="AA1559" s="35" t="s">
        <v>2836</v>
      </c>
      <c r="AB1559" s="32">
        <v>215000</v>
      </c>
      <c r="AC1559" s="32" t="s">
        <v>2837</v>
      </c>
      <c r="AH1559" s="32" t="s">
        <v>411</v>
      </c>
      <c r="AJ1559" s="35" t="s">
        <v>2829</v>
      </c>
      <c r="AK1559" s="40" t="s">
        <v>2838</v>
      </c>
      <c r="AL1559" s="32">
        <v>2022</v>
      </c>
      <c r="AM1559" s="32" t="s">
        <v>2839</v>
      </c>
      <c r="AN1559" s="32" t="s">
        <v>2840</v>
      </c>
      <c r="AO1559" s="38" t="s">
        <v>2833</v>
      </c>
      <c r="AP1559" s="35" t="s">
        <v>396</v>
      </c>
    </row>
    <row r="1560" spans="1:42" x14ac:dyDescent="0.2">
      <c r="A1560" s="40">
        <v>166</v>
      </c>
      <c r="B1560" s="40">
        <v>1560</v>
      </c>
      <c r="C1560" s="40" t="s">
        <v>119</v>
      </c>
      <c r="D1560" s="38" t="s">
        <v>128</v>
      </c>
      <c r="E1560" s="32" t="s">
        <v>2186</v>
      </c>
      <c r="F1560" s="32" t="s">
        <v>29</v>
      </c>
      <c r="G1560" s="38" t="s">
        <v>29</v>
      </c>
      <c r="H1560" s="32" t="s">
        <v>242</v>
      </c>
      <c r="I1560" s="32" t="s">
        <v>243</v>
      </c>
      <c r="J1560" s="32" t="s">
        <v>2834</v>
      </c>
      <c r="K1560" s="32" t="s">
        <v>1513</v>
      </c>
      <c r="L1560" s="32" t="s">
        <v>30</v>
      </c>
      <c r="M1560" s="32" t="s">
        <v>30</v>
      </c>
      <c r="N1560" s="40">
        <v>2018</v>
      </c>
      <c r="O1560" s="32">
        <f>VLOOKUP(Data!N1300, CPI!$A$2:$B$112, 2, 0)</f>
        <v>251.107</v>
      </c>
      <c r="P1560" s="32" t="s">
        <v>56</v>
      </c>
      <c r="Q1560" s="32" t="s">
        <v>239</v>
      </c>
      <c r="R1560" s="32" t="s">
        <v>2835</v>
      </c>
      <c r="S1560" s="32">
        <v>155000000000</v>
      </c>
      <c r="T1560" s="32" t="s">
        <v>1385</v>
      </c>
      <c r="U1560" s="32">
        <f t="shared" si="103"/>
        <v>714285.71428571432</v>
      </c>
      <c r="V1560" s="32" t="s">
        <v>1487</v>
      </c>
      <c r="W1560" s="32">
        <f>VLOOKUP(N1560, 'Exchange rate- Vietnam'!$A$2:$B$65, 2, 0)</f>
        <v>22602.05</v>
      </c>
      <c r="X1560" s="32">
        <f t="shared" si="104"/>
        <v>31.602695962787195</v>
      </c>
      <c r="Y1560" s="32">
        <f>(CPI!$B$112/O1560)*X1560</f>
        <v>38.344636737247967</v>
      </c>
      <c r="Z1560" s="38" t="s">
        <v>1609</v>
      </c>
      <c r="AA1560" s="35" t="s">
        <v>2836</v>
      </c>
      <c r="AB1560" s="32">
        <v>217000</v>
      </c>
      <c r="AC1560" s="32" t="s">
        <v>2837</v>
      </c>
      <c r="AH1560" s="32" t="s">
        <v>411</v>
      </c>
      <c r="AJ1560" s="35" t="s">
        <v>2829</v>
      </c>
      <c r="AK1560" s="40" t="s">
        <v>2838</v>
      </c>
      <c r="AL1560" s="32">
        <v>2022</v>
      </c>
      <c r="AM1560" s="32" t="s">
        <v>2839</v>
      </c>
      <c r="AN1560" s="32" t="s">
        <v>2840</v>
      </c>
      <c r="AO1560" s="38" t="s">
        <v>2833</v>
      </c>
      <c r="AP1560" s="35" t="s">
        <v>396</v>
      </c>
    </row>
    <row r="1561" spans="1:42" x14ac:dyDescent="0.2">
      <c r="A1561" s="40">
        <v>166</v>
      </c>
      <c r="B1561" s="40">
        <v>1561</v>
      </c>
      <c r="C1561" s="40" t="s">
        <v>119</v>
      </c>
      <c r="D1561" s="38" t="s">
        <v>128</v>
      </c>
      <c r="E1561" s="32" t="s">
        <v>2186</v>
      </c>
      <c r="F1561" s="32" t="s">
        <v>29</v>
      </c>
      <c r="G1561" s="38" t="s">
        <v>29</v>
      </c>
      <c r="H1561" s="32" t="s">
        <v>242</v>
      </c>
      <c r="I1561" s="32" t="s">
        <v>243</v>
      </c>
      <c r="J1561" s="32" t="s">
        <v>2834</v>
      </c>
      <c r="K1561" s="32" t="s">
        <v>1513</v>
      </c>
      <c r="L1561" s="32" t="s">
        <v>30</v>
      </c>
      <c r="M1561" s="32" t="s">
        <v>30</v>
      </c>
      <c r="N1561" s="40">
        <v>2019</v>
      </c>
      <c r="O1561" s="32">
        <f>VLOOKUP(Data!N1301, CPI!$A$2:$B$112, 2, 0)</f>
        <v>240.00700000000001</v>
      </c>
      <c r="P1561" s="32" t="s">
        <v>56</v>
      </c>
      <c r="Q1561" s="32" t="s">
        <v>239</v>
      </c>
      <c r="R1561" s="32" t="s">
        <v>2835</v>
      </c>
      <c r="S1561" s="32">
        <v>170000000000</v>
      </c>
      <c r="T1561" s="32" t="s">
        <v>1385</v>
      </c>
      <c r="U1561" s="32">
        <f t="shared" si="103"/>
        <v>772727.27272727271</v>
      </c>
      <c r="V1561" s="32" t="s">
        <v>1487</v>
      </c>
      <c r="W1561" s="32">
        <f>VLOOKUP(N1561, 'Exchange rate- Vietnam'!$A$2:$B$65, 2, 0)</f>
        <v>23050.241666666701</v>
      </c>
      <c r="X1561" s="32">
        <f t="shared" si="104"/>
        <v>33.523608294516286</v>
      </c>
      <c r="Y1561" s="32">
        <f>(CPI!$B$112/O1561)*X1561</f>
        <v>42.556525532364745</v>
      </c>
      <c r="Z1561" s="38" t="s">
        <v>1609</v>
      </c>
      <c r="AA1561" s="35" t="s">
        <v>2836</v>
      </c>
      <c r="AB1561" s="32">
        <v>220000</v>
      </c>
      <c r="AC1561" s="32" t="s">
        <v>2837</v>
      </c>
      <c r="AH1561" s="32" t="s">
        <v>411</v>
      </c>
      <c r="AJ1561" s="35" t="s">
        <v>2829</v>
      </c>
      <c r="AK1561" s="40" t="s">
        <v>2838</v>
      </c>
      <c r="AL1561" s="32">
        <v>2022</v>
      </c>
      <c r="AM1561" s="32" t="s">
        <v>2839</v>
      </c>
      <c r="AN1561" s="32" t="s">
        <v>2840</v>
      </c>
      <c r="AO1561" s="38" t="s">
        <v>2833</v>
      </c>
      <c r="AP1561" s="35" t="s">
        <v>396</v>
      </c>
    </row>
    <row r="1562" spans="1:42" x14ac:dyDescent="0.2">
      <c r="A1562" s="40">
        <v>166</v>
      </c>
      <c r="B1562" s="40">
        <v>1562</v>
      </c>
      <c r="C1562" s="40" t="s">
        <v>119</v>
      </c>
      <c r="D1562" s="38" t="s">
        <v>128</v>
      </c>
      <c r="E1562" s="32" t="s">
        <v>2186</v>
      </c>
      <c r="F1562" s="32" t="s">
        <v>29</v>
      </c>
      <c r="G1562" s="38" t="s">
        <v>29</v>
      </c>
      <c r="H1562" s="32" t="s">
        <v>242</v>
      </c>
      <c r="I1562" s="32" t="s">
        <v>243</v>
      </c>
      <c r="J1562" s="32" t="s">
        <v>2834</v>
      </c>
      <c r="K1562" s="32" t="s">
        <v>1513</v>
      </c>
      <c r="L1562" s="32" t="s">
        <v>30</v>
      </c>
      <c r="M1562" s="32" t="s">
        <v>30</v>
      </c>
      <c r="N1562" s="40">
        <v>2020</v>
      </c>
      <c r="O1562" s="32">
        <f>VLOOKUP(Data!N1302, CPI!$A$2:$B$112, 2, 0)</f>
        <v>240.00700000000001</v>
      </c>
      <c r="P1562" s="32" t="s">
        <v>56</v>
      </c>
      <c r="Q1562" s="32" t="s">
        <v>239</v>
      </c>
      <c r="R1562" s="32" t="s">
        <v>2835</v>
      </c>
      <c r="S1562" s="32">
        <v>172000000000</v>
      </c>
      <c r="T1562" s="32" t="s">
        <v>1385</v>
      </c>
      <c r="U1562" s="32">
        <f t="shared" si="103"/>
        <v>781818.18181818177</v>
      </c>
      <c r="V1562" s="32" t="s">
        <v>1487</v>
      </c>
      <c r="W1562" s="32">
        <f>VLOOKUP(N1562, 'Exchange rate- Vietnam'!$A$2:$B$65, 2, 0)</f>
        <v>23208.368333333299</v>
      </c>
      <c r="X1562" s="32">
        <f t="shared" si="104"/>
        <v>33.686908557689769</v>
      </c>
      <c r="Y1562" s="32">
        <f>(CPI!$B$112/O1562)*X1562</f>
        <v>42.763826958814143</v>
      </c>
      <c r="Z1562" s="38" t="s">
        <v>1609</v>
      </c>
      <c r="AA1562" s="35" t="s">
        <v>2836</v>
      </c>
      <c r="AB1562" s="32">
        <v>220000</v>
      </c>
      <c r="AC1562" s="32" t="s">
        <v>2837</v>
      </c>
      <c r="AH1562" s="32" t="s">
        <v>411</v>
      </c>
      <c r="AJ1562" s="35" t="s">
        <v>2829</v>
      </c>
      <c r="AK1562" s="40" t="s">
        <v>2838</v>
      </c>
      <c r="AL1562" s="32">
        <v>2022</v>
      </c>
      <c r="AM1562" s="32" t="s">
        <v>2839</v>
      </c>
      <c r="AN1562" s="32" t="s">
        <v>2840</v>
      </c>
      <c r="AO1562" s="38" t="s">
        <v>2833</v>
      </c>
      <c r="AP1562" s="35" t="s">
        <v>396</v>
      </c>
    </row>
    <row r="1563" spans="1:42" x14ac:dyDescent="0.2">
      <c r="A1563" s="40">
        <v>167</v>
      </c>
      <c r="B1563" s="40">
        <v>1563</v>
      </c>
      <c r="C1563" s="40" t="s">
        <v>149</v>
      </c>
      <c r="D1563" s="38" t="s">
        <v>45</v>
      </c>
      <c r="E1563" s="32" t="s">
        <v>2183</v>
      </c>
      <c r="F1563" s="32" t="s">
        <v>237</v>
      </c>
      <c r="G1563" s="38" t="s">
        <v>154</v>
      </c>
      <c r="H1563" s="32" t="s">
        <v>151</v>
      </c>
      <c r="I1563" s="32" t="s">
        <v>243</v>
      </c>
      <c r="J1563" s="32" t="s">
        <v>2841</v>
      </c>
      <c r="K1563" s="32" t="s">
        <v>1513</v>
      </c>
      <c r="L1563" s="32" t="s">
        <v>30</v>
      </c>
      <c r="M1563" s="32" t="s">
        <v>30</v>
      </c>
      <c r="N1563" s="40">
        <v>2018</v>
      </c>
      <c r="O1563" s="32">
        <f>VLOOKUP(Data!N1303, CPI!$A$2:$B$112, 2, 0)</f>
        <v>218.05600000000001</v>
      </c>
      <c r="P1563" s="32" t="s">
        <v>7</v>
      </c>
      <c r="Q1563" s="32" t="s">
        <v>239</v>
      </c>
      <c r="R1563" s="32" t="s">
        <v>2843</v>
      </c>
      <c r="S1563" s="32">
        <v>59537900</v>
      </c>
      <c r="T1563" s="32" t="s">
        <v>1487</v>
      </c>
      <c r="U1563" s="32">
        <v>59537900</v>
      </c>
      <c r="V1563" s="32" t="s">
        <v>1487</v>
      </c>
      <c r="W1563" s="32">
        <f>VLOOKUP(N1563, 'Exchange rate- Vietnam'!$A$2:$B$65, 2, 0)</f>
        <v>22602.05</v>
      </c>
      <c r="X1563" s="32">
        <f t="shared" si="104"/>
        <v>2634.1814127479588</v>
      </c>
      <c r="Y1563" s="32">
        <f>(CPI!$B$112/O1563)*X1563</f>
        <v>3680.5858666877166</v>
      </c>
      <c r="Z1563" s="38" t="s">
        <v>1609</v>
      </c>
      <c r="AA1563" s="35" t="s">
        <v>1425</v>
      </c>
      <c r="AB1563" s="32">
        <v>0.32</v>
      </c>
      <c r="AC1563" s="32" t="s">
        <v>2844</v>
      </c>
      <c r="AH1563" s="32" t="s">
        <v>411</v>
      </c>
      <c r="AK1563" s="40" t="s">
        <v>2846</v>
      </c>
      <c r="AL1563" s="32">
        <v>2020</v>
      </c>
      <c r="AM1563" s="32" t="s">
        <v>2847</v>
      </c>
      <c r="AN1563" s="32" t="s">
        <v>2848</v>
      </c>
      <c r="AO1563" s="38" t="s">
        <v>2849</v>
      </c>
      <c r="AP1563" s="35" t="s">
        <v>396</v>
      </c>
    </row>
    <row r="1564" spans="1:42" x14ac:dyDescent="0.2">
      <c r="A1564" s="40">
        <v>167</v>
      </c>
      <c r="B1564" s="40">
        <v>1564</v>
      </c>
      <c r="C1564" s="40" t="s">
        <v>149</v>
      </c>
      <c r="D1564" s="38" t="s">
        <v>45</v>
      </c>
      <c r="E1564" s="32" t="s">
        <v>2183</v>
      </c>
      <c r="F1564" s="32" t="s">
        <v>237</v>
      </c>
      <c r="G1564" s="38" t="s">
        <v>154</v>
      </c>
      <c r="H1564" s="32" t="s">
        <v>151</v>
      </c>
      <c r="I1564" s="32" t="s">
        <v>120</v>
      </c>
      <c r="J1564" s="32" t="s">
        <v>2842</v>
      </c>
      <c r="K1564" s="32" t="s">
        <v>1513</v>
      </c>
      <c r="L1564" s="32" t="s">
        <v>30</v>
      </c>
      <c r="M1564" s="32" t="s">
        <v>30</v>
      </c>
      <c r="N1564" s="40">
        <v>2018</v>
      </c>
      <c r="O1564" s="32">
        <f>VLOOKUP(Data!N1304, CPI!$A$2:$B$112, 2, 0)</f>
        <v>218.05600000000001</v>
      </c>
      <c r="P1564" s="32" t="s">
        <v>7</v>
      </c>
      <c r="Q1564" s="32" t="s">
        <v>239</v>
      </c>
      <c r="R1564" s="32" t="s">
        <v>2843</v>
      </c>
      <c r="S1564" s="32">
        <v>38715200</v>
      </c>
      <c r="T1564" s="32" t="s">
        <v>1487</v>
      </c>
      <c r="U1564" s="32">
        <v>38715200</v>
      </c>
      <c r="V1564" s="32" t="s">
        <v>1487</v>
      </c>
      <c r="W1564" s="32">
        <f>VLOOKUP(N1564, 'Exchange rate- Vietnam'!$A$2:$B$65, 2, 0)</f>
        <v>22602.05</v>
      </c>
      <c r="X1564" s="32">
        <f t="shared" si="104"/>
        <v>1712.9065726338983</v>
      </c>
      <c r="Y1564" s="32">
        <f>(CPI!$B$112/O1564)*X1564</f>
        <v>2393.3430293307001</v>
      </c>
      <c r="Z1564" s="38" t="s">
        <v>1609</v>
      </c>
      <c r="AA1564" s="35" t="s">
        <v>1425</v>
      </c>
      <c r="AB1564" s="32">
        <v>0.19</v>
      </c>
      <c r="AC1564" s="32" t="s">
        <v>2844</v>
      </c>
      <c r="AH1564" s="32" t="s">
        <v>411</v>
      </c>
      <c r="AK1564" s="40" t="s">
        <v>2846</v>
      </c>
      <c r="AL1564" s="32">
        <v>2020</v>
      </c>
      <c r="AM1564" s="32" t="s">
        <v>2847</v>
      </c>
      <c r="AN1564" s="32" t="s">
        <v>2848</v>
      </c>
      <c r="AO1564" s="38" t="s">
        <v>2849</v>
      </c>
      <c r="AP1564" s="35" t="s">
        <v>396</v>
      </c>
    </row>
    <row r="1565" spans="1:42" x14ac:dyDescent="0.2">
      <c r="A1565" s="40">
        <v>167</v>
      </c>
      <c r="B1565" s="40">
        <v>1565</v>
      </c>
      <c r="C1565" s="40" t="s">
        <v>149</v>
      </c>
      <c r="D1565" s="38" t="s">
        <v>45</v>
      </c>
      <c r="E1565" s="32" t="s">
        <v>2183</v>
      </c>
      <c r="F1565" s="32" t="s">
        <v>237</v>
      </c>
      <c r="G1565" s="38" t="s">
        <v>154</v>
      </c>
      <c r="H1565" s="32" t="s">
        <v>151</v>
      </c>
      <c r="I1565" s="32" t="s">
        <v>243</v>
      </c>
      <c r="J1565" s="32" t="s">
        <v>2841</v>
      </c>
      <c r="K1565" s="32" t="s">
        <v>1513</v>
      </c>
      <c r="L1565" s="32" t="s">
        <v>30</v>
      </c>
      <c r="M1565" s="32" t="s">
        <v>30</v>
      </c>
      <c r="N1565" s="40">
        <v>2018</v>
      </c>
      <c r="O1565" s="32">
        <f>VLOOKUP(Data!N1305, CPI!$A$2:$B$112, 2, 0)</f>
        <v>236.73599999999999</v>
      </c>
      <c r="P1565" s="32" t="s">
        <v>7</v>
      </c>
      <c r="Q1565" s="32" t="s">
        <v>239</v>
      </c>
      <c r="R1565" s="32" t="s">
        <v>2845</v>
      </c>
      <c r="S1565" s="32">
        <v>97070900</v>
      </c>
      <c r="T1565" s="32" t="s">
        <v>1487</v>
      </c>
      <c r="U1565" s="32">
        <v>59537900</v>
      </c>
      <c r="V1565" s="32" t="s">
        <v>1487</v>
      </c>
      <c r="W1565" s="32">
        <f>VLOOKUP(N1565, 'Exchange rate- Vietnam'!$A$2:$B$65, 2, 0)</f>
        <v>22602.05</v>
      </c>
      <c r="X1565" s="32">
        <f t="shared" si="104"/>
        <v>2634.1814127479588</v>
      </c>
      <c r="Y1565" s="32">
        <f>(CPI!$B$112/O1565)*X1565</f>
        <v>3390.1638607835598</v>
      </c>
      <c r="Z1565" s="38" t="s">
        <v>1609</v>
      </c>
      <c r="AA1565" s="35" t="s">
        <v>1425</v>
      </c>
      <c r="AB1565" s="32">
        <v>0.32</v>
      </c>
      <c r="AC1565" s="32" t="s">
        <v>2844</v>
      </c>
      <c r="AH1565" s="32" t="s">
        <v>411</v>
      </c>
      <c r="AK1565" s="40" t="s">
        <v>2846</v>
      </c>
      <c r="AL1565" s="32">
        <v>2020</v>
      </c>
      <c r="AM1565" s="32" t="s">
        <v>2847</v>
      </c>
      <c r="AN1565" s="32" t="s">
        <v>2848</v>
      </c>
      <c r="AO1565" s="38" t="s">
        <v>2849</v>
      </c>
      <c r="AP1565" s="35" t="s">
        <v>396</v>
      </c>
    </row>
    <row r="1566" spans="1:42" x14ac:dyDescent="0.2">
      <c r="A1566" s="40">
        <v>167</v>
      </c>
      <c r="B1566" s="40">
        <v>1566</v>
      </c>
      <c r="C1566" s="40" t="s">
        <v>149</v>
      </c>
      <c r="D1566" s="38" t="s">
        <v>45</v>
      </c>
      <c r="E1566" s="32" t="s">
        <v>2183</v>
      </c>
      <c r="F1566" s="32" t="s">
        <v>237</v>
      </c>
      <c r="G1566" s="38" t="s">
        <v>154</v>
      </c>
      <c r="H1566" s="32" t="s">
        <v>151</v>
      </c>
      <c r="I1566" s="32" t="s">
        <v>120</v>
      </c>
      <c r="J1566" s="32" t="s">
        <v>2842</v>
      </c>
      <c r="K1566" s="32" t="s">
        <v>1513</v>
      </c>
      <c r="L1566" s="32" t="s">
        <v>30</v>
      </c>
      <c r="M1566" s="32" t="s">
        <v>30</v>
      </c>
      <c r="N1566" s="40">
        <v>2018</v>
      </c>
      <c r="O1566" s="32">
        <f>VLOOKUP(Data!N1306, CPI!$A$2:$B$112, 2, 0)</f>
        <v>236.73599999999999</v>
      </c>
      <c r="P1566" s="32" t="s">
        <v>7</v>
      </c>
      <c r="Q1566" s="32" t="s">
        <v>239</v>
      </c>
      <c r="R1566" s="32" t="s">
        <v>2845</v>
      </c>
      <c r="S1566" s="32">
        <v>76592400</v>
      </c>
      <c r="T1566" s="32" t="s">
        <v>1487</v>
      </c>
      <c r="U1566" s="32">
        <v>38715200</v>
      </c>
      <c r="V1566" s="32" t="s">
        <v>1487</v>
      </c>
      <c r="W1566" s="32">
        <f>VLOOKUP(N1566, 'Exchange rate- Vietnam'!$A$2:$B$65, 2, 0)</f>
        <v>22602.05</v>
      </c>
      <c r="X1566" s="32">
        <f t="shared" si="104"/>
        <v>1712.9065726338983</v>
      </c>
      <c r="Y1566" s="32">
        <f>(CPI!$B$112/O1566)*X1566</f>
        <v>2204.4928004348099</v>
      </c>
      <c r="Z1566" s="38" t="s">
        <v>1609</v>
      </c>
      <c r="AA1566" s="35" t="s">
        <v>1425</v>
      </c>
      <c r="AB1566" s="32">
        <v>0.19</v>
      </c>
      <c r="AC1566" s="32" t="s">
        <v>2844</v>
      </c>
      <c r="AH1566" s="32" t="s">
        <v>411</v>
      </c>
      <c r="AK1566" s="40" t="s">
        <v>2846</v>
      </c>
      <c r="AL1566" s="32">
        <v>2020</v>
      </c>
      <c r="AM1566" s="32" t="s">
        <v>2847</v>
      </c>
      <c r="AN1566" s="32" t="s">
        <v>2848</v>
      </c>
      <c r="AO1566" s="38" t="s">
        <v>2849</v>
      </c>
      <c r="AP1566" s="35" t="s">
        <v>396</v>
      </c>
    </row>
    <row r="1567" spans="1:42" x14ac:dyDescent="0.2">
      <c r="A1567" s="40">
        <v>168</v>
      </c>
      <c r="B1567" s="40">
        <v>1567</v>
      </c>
      <c r="C1567" s="40" t="s">
        <v>149</v>
      </c>
      <c r="D1567" s="38" t="s">
        <v>45</v>
      </c>
      <c r="E1567" s="32" t="s">
        <v>2183</v>
      </c>
      <c r="F1567" s="32" t="s">
        <v>237</v>
      </c>
      <c r="G1567" s="38" t="s">
        <v>1923</v>
      </c>
      <c r="H1567" s="32" t="s">
        <v>151</v>
      </c>
      <c r="I1567" s="32" t="s">
        <v>61</v>
      </c>
      <c r="J1567" s="32" t="s">
        <v>2852</v>
      </c>
      <c r="K1567" s="32" t="s">
        <v>1513</v>
      </c>
      <c r="L1567" s="32" t="s">
        <v>30</v>
      </c>
      <c r="M1567" s="32" t="s">
        <v>30</v>
      </c>
      <c r="N1567" s="40">
        <v>2000</v>
      </c>
      <c r="O1567" s="32">
        <f>VLOOKUP(Data!N1041, CPI!$A$2:$B$112, 2, 0)</f>
        <v>232.95699999999999</v>
      </c>
      <c r="P1567" s="32" t="s">
        <v>7</v>
      </c>
      <c r="Q1567" s="32" t="s">
        <v>239</v>
      </c>
      <c r="R1567" s="32" t="s">
        <v>2854</v>
      </c>
      <c r="S1567" s="32">
        <v>1001</v>
      </c>
      <c r="T1567" s="32" t="s">
        <v>316</v>
      </c>
      <c r="U1567" s="32">
        <v>1001</v>
      </c>
      <c r="V1567" s="32" t="s">
        <v>316</v>
      </c>
      <c r="X1567" s="32">
        <f t="shared" ref="X1567:X1574" si="105">U1567</f>
        <v>1001</v>
      </c>
      <c r="Y1567" s="32">
        <f>(CPI!$B$112/O1567)*X1567</f>
        <v>1309.1747693780399</v>
      </c>
      <c r="Z1567" s="38" t="s">
        <v>262</v>
      </c>
      <c r="AA1567" s="35" t="s">
        <v>1399</v>
      </c>
      <c r="AH1567" s="32" t="s">
        <v>411</v>
      </c>
      <c r="AK1567" s="40" t="s">
        <v>2857</v>
      </c>
      <c r="AL1567" s="32">
        <v>2005</v>
      </c>
      <c r="AM1567" s="32" t="s">
        <v>2858</v>
      </c>
      <c r="AN1567" s="32" t="s">
        <v>2859</v>
      </c>
      <c r="AO1567" s="38" t="s">
        <v>2860</v>
      </c>
      <c r="AP1567" s="35" t="s">
        <v>396</v>
      </c>
    </row>
    <row r="1568" spans="1:42" x14ac:dyDescent="0.2">
      <c r="A1568" s="40">
        <v>168</v>
      </c>
      <c r="B1568" s="40">
        <v>1568</v>
      </c>
      <c r="C1568" s="40" t="s">
        <v>149</v>
      </c>
      <c r="D1568" s="38" t="s">
        <v>45</v>
      </c>
      <c r="E1568" s="32" t="s">
        <v>2183</v>
      </c>
      <c r="F1568" s="32" t="s">
        <v>237</v>
      </c>
      <c r="G1568" s="38" t="s">
        <v>154</v>
      </c>
      <c r="H1568" s="32" t="s">
        <v>151</v>
      </c>
      <c r="I1568" s="32" t="s">
        <v>61</v>
      </c>
      <c r="J1568" s="32" t="s">
        <v>2852</v>
      </c>
      <c r="K1568" s="32" t="s">
        <v>1513</v>
      </c>
      <c r="L1568" s="32" t="s">
        <v>30</v>
      </c>
      <c r="M1568" s="32" t="s">
        <v>30</v>
      </c>
      <c r="N1568" s="40">
        <v>2000</v>
      </c>
      <c r="O1568" s="32">
        <f>VLOOKUP(Data!N1042, CPI!$A$2:$B$112, 2, 0)</f>
        <v>236.73599999999999</v>
      </c>
      <c r="P1568" s="32" t="s">
        <v>7</v>
      </c>
      <c r="Q1568" s="32" t="s">
        <v>239</v>
      </c>
      <c r="R1568" s="32" t="s">
        <v>2855</v>
      </c>
      <c r="S1568" s="32">
        <v>248</v>
      </c>
      <c r="T1568" s="32" t="s">
        <v>316</v>
      </c>
      <c r="U1568" s="32">
        <v>248</v>
      </c>
      <c r="V1568" s="32" t="s">
        <v>316</v>
      </c>
      <c r="X1568" s="32">
        <f t="shared" si="105"/>
        <v>248</v>
      </c>
      <c r="Y1568" s="32">
        <f>(CPI!$B$112/O1568)*X1568</f>
        <v>319.17339990537988</v>
      </c>
      <c r="Z1568" s="38" t="s">
        <v>262</v>
      </c>
      <c r="AA1568" s="35" t="s">
        <v>1399</v>
      </c>
      <c r="AH1568" s="32" t="s">
        <v>411</v>
      </c>
      <c r="AK1568" s="40" t="s">
        <v>2857</v>
      </c>
      <c r="AL1568" s="32">
        <v>2005</v>
      </c>
      <c r="AM1568" s="32" t="s">
        <v>2858</v>
      </c>
      <c r="AN1568" s="32" t="s">
        <v>2859</v>
      </c>
      <c r="AO1568" s="38" t="s">
        <v>2860</v>
      </c>
      <c r="AP1568" s="35" t="s">
        <v>396</v>
      </c>
    </row>
    <row r="1569" spans="1:42" x14ac:dyDescent="0.2">
      <c r="A1569" s="40">
        <v>168</v>
      </c>
      <c r="B1569" s="40">
        <v>1569</v>
      </c>
      <c r="C1569" s="40" t="s">
        <v>149</v>
      </c>
      <c r="D1569" s="38" t="s">
        <v>45</v>
      </c>
      <c r="E1569" s="32" t="s">
        <v>2183</v>
      </c>
      <c r="F1569" s="32" t="s">
        <v>237</v>
      </c>
      <c r="G1569" s="38" t="s">
        <v>1923</v>
      </c>
      <c r="H1569" s="32" t="s">
        <v>151</v>
      </c>
      <c r="I1569" s="32" t="s">
        <v>61</v>
      </c>
      <c r="J1569" s="32" t="s">
        <v>2853</v>
      </c>
      <c r="K1569" s="32" t="s">
        <v>1513</v>
      </c>
      <c r="L1569" s="32" t="s">
        <v>30</v>
      </c>
      <c r="M1569" s="32" t="s">
        <v>30</v>
      </c>
      <c r="N1569" s="40">
        <v>2000</v>
      </c>
      <c r="O1569" s="32">
        <f>VLOOKUP(Data!N1043, CPI!$A$2:$B$112, 2, 0)</f>
        <v>236.73599999999999</v>
      </c>
      <c r="P1569" s="32" t="s">
        <v>7</v>
      </c>
      <c r="Q1569" s="32" t="s">
        <v>239</v>
      </c>
      <c r="R1569" s="32" t="s">
        <v>2856</v>
      </c>
      <c r="S1569" s="32">
        <v>670</v>
      </c>
      <c r="T1569" s="32" t="s">
        <v>316</v>
      </c>
      <c r="U1569" s="32">
        <v>670</v>
      </c>
      <c r="V1569" s="32" t="s">
        <v>316</v>
      </c>
      <c r="X1569" s="32">
        <f t="shared" si="105"/>
        <v>670</v>
      </c>
      <c r="Y1569" s="32">
        <f>(CPI!$B$112/O1569)*X1569</f>
        <v>862.28297555082474</v>
      </c>
      <c r="Z1569" s="38" t="s">
        <v>262</v>
      </c>
      <c r="AA1569" s="35" t="s">
        <v>1399</v>
      </c>
      <c r="AH1569" s="32" t="s">
        <v>411</v>
      </c>
      <c r="AK1569" s="40" t="s">
        <v>2857</v>
      </c>
      <c r="AL1569" s="32">
        <v>2005</v>
      </c>
      <c r="AM1569" s="32" t="s">
        <v>2858</v>
      </c>
      <c r="AN1569" s="32" t="s">
        <v>2859</v>
      </c>
      <c r="AO1569" s="38" t="s">
        <v>2860</v>
      </c>
      <c r="AP1569" s="35" t="s">
        <v>396</v>
      </c>
    </row>
    <row r="1570" spans="1:42" x14ac:dyDescent="0.2">
      <c r="A1570" s="40">
        <v>168</v>
      </c>
      <c r="B1570" s="40">
        <v>1570</v>
      </c>
      <c r="C1570" s="40" t="s">
        <v>149</v>
      </c>
      <c r="D1570" s="38" t="s">
        <v>45</v>
      </c>
      <c r="E1570" s="32" t="s">
        <v>2183</v>
      </c>
      <c r="F1570" s="32" t="s">
        <v>237</v>
      </c>
      <c r="G1570" s="38" t="s">
        <v>154</v>
      </c>
      <c r="H1570" s="32" t="s">
        <v>151</v>
      </c>
      <c r="I1570" s="32" t="s">
        <v>61</v>
      </c>
      <c r="J1570" s="32" t="s">
        <v>2853</v>
      </c>
      <c r="K1570" s="32" t="s">
        <v>1513</v>
      </c>
      <c r="L1570" s="32" t="s">
        <v>30</v>
      </c>
      <c r="M1570" s="32" t="s">
        <v>30</v>
      </c>
      <c r="N1570" s="40">
        <v>2000</v>
      </c>
      <c r="O1570" s="32">
        <f>VLOOKUP(Data!N1044, CPI!$A$2:$B$112, 2, 0)</f>
        <v>236.73599999999999</v>
      </c>
      <c r="P1570" s="32" t="s">
        <v>7</v>
      </c>
      <c r="Q1570" s="32" t="s">
        <v>239</v>
      </c>
      <c r="R1570" s="32" t="s">
        <v>2855</v>
      </c>
      <c r="S1570" s="32">
        <v>200</v>
      </c>
      <c r="T1570" s="32" t="s">
        <v>316</v>
      </c>
      <c r="U1570" s="32">
        <v>200</v>
      </c>
      <c r="V1570" s="32" t="s">
        <v>316</v>
      </c>
      <c r="X1570" s="32">
        <f t="shared" si="105"/>
        <v>200</v>
      </c>
      <c r="Y1570" s="32">
        <f>(CPI!$B$112/O1570)*X1570</f>
        <v>257.39790314949988</v>
      </c>
      <c r="Z1570" s="38" t="s">
        <v>262</v>
      </c>
      <c r="AA1570" s="35" t="s">
        <v>1399</v>
      </c>
      <c r="AH1570" s="32" t="s">
        <v>411</v>
      </c>
      <c r="AK1570" s="40" t="s">
        <v>2857</v>
      </c>
      <c r="AL1570" s="32">
        <v>2005</v>
      </c>
      <c r="AM1570" s="32" t="s">
        <v>2858</v>
      </c>
      <c r="AN1570" s="32" t="s">
        <v>2859</v>
      </c>
      <c r="AO1570" s="38" t="s">
        <v>2860</v>
      </c>
      <c r="AP1570" s="35" t="s">
        <v>396</v>
      </c>
    </row>
    <row r="1571" spans="1:42" x14ac:dyDescent="0.2">
      <c r="A1571" s="40">
        <v>168</v>
      </c>
      <c r="B1571" s="40">
        <v>1571</v>
      </c>
      <c r="C1571" s="40" t="s">
        <v>149</v>
      </c>
      <c r="D1571" s="38" t="s">
        <v>45</v>
      </c>
      <c r="E1571" s="32" t="s">
        <v>2183</v>
      </c>
      <c r="F1571" s="32" t="s">
        <v>237</v>
      </c>
      <c r="G1571" s="38" t="s">
        <v>1923</v>
      </c>
      <c r="H1571" s="32" t="s">
        <v>151</v>
      </c>
      <c r="I1571" s="32" t="s">
        <v>61</v>
      </c>
      <c r="J1571" s="32" t="s">
        <v>2852</v>
      </c>
      <c r="K1571" s="32" t="s">
        <v>1513</v>
      </c>
      <c r="L1571" s="32" t="s">
        <v>30</v>
      </c>
      <c r="M1571" s="32" t="s">
        <v>30</v>
      </c>
      <c r="N1571" s="40">
        <v>2000</v>
      </c>
      <c r="O1571" s="32">
        <f>VLOOKUP(Data!N1045, CPI!$A$2:$B$112, 2, 0)</f>
        <v>236.73599999999999</v>
      </c>
      <c r="P1571" s="32" t="s">
        <v>7</v>
      </c>
      <c r="Q1571" s="32" t="s">
        <v>239</v>
      </c>
      <c r="R1571" s="32" t="s">
        <v>2850</v>
      </c>
      <c r="S1571" s="32">
        <v>888</v>
      </c>
      <c r="T1571" s="32" t="s">
        <v>316</v>
      </c>
      <c r="U1571" s="32">
        <v>888</v>
      </c>
      <c r="V1571" s="32" t="s">
        <v>316</v>
      </c>
      <c r="X1571" s="32">
        <f t="shared" si="105"/>
        <v>888</v>
      </c>
      <c r="Y1571" s="32">
        <f>(CPI!$B$112/O1571)*X1571</f>
        <v>1142.8466899837797</v>
      </c>
      <c r="Z1571" s="38" t="s">
        <v>262</v>
      </c>
      <c r="AA1571" s="35" t="s">
        <v>1399</v>
      </c>
      <c r="AH1571" s="32" t="s">
        <v>411</v>
      </c>
      <c r="AK1571" s="40" t="s">
        <v>2857</v>
      </c>
      <c r="AL1571" s="32">
        <v>2005</v>
      </c>
      <c r="AM1571" s="32" t="s">
        <v>2858</v>
      </c>
      <c r="AN1571" s="32" t="s">
        <v>2859</v>
      </c>
      <c r="AO1571" s="38" t="s">
        <v>2860</v>
      </c>
      <c r="AP1571" s="35" t="s">
        <v>396</v>
      </c>
    </row>
    <row r="1572" spans="1:42" x14ac:dyDescent="0.2">
      <c r="A1572" s="40">
        <v>168</v>
      </c>
      <c r="B1572" s="40">
        <v>1572</v>
      </c>
      <c r="C1572" s="40" t="s">
        <v>149</v>
      </c>
      <c r="D1572" s="38" t="s">
        <v>45</v>
      </c>
      <c r="E1572" s="32" t="s">
        <v>2183</v>
      </c>
      <c r="F1572" s="32" t="s">
        <v>237</v>
      </c>
      <c r="G1572" s="38" t="s">
        <v>154</v>
      </c>
      <c r="H1572" s="32" t="s">
        <v>151</v>
      </c>
      <c r="I1572" s="32" t="s">
        <v>61</v>
      </c>
      <c r="J1572" s="32" t="s">
        <v>2852</v>
      </c>
      <c r="K1572" s="32" t="s">
        <v>1513</v>
      </c>
      <c r="L1572" s="32" t="s">
        <v>30</v>
      </c>
      <c r="M1572" s="32" t="s">
        <v>30</v>
      </c>
      <c r="N1572" s="40">
        <v>2000</v>
      </c>
      <c r="O1572" s="32">
        <f>VLOOKUP(Data!N1046, CPI!$A$2:$B$112, 2, 0)</f>
        <v>236.73599999999999</v>
      </c>
      <c r="P1572" s="32" t="s">
        <v>7</v>
      </c>
      <c r="Q1572" s="32" t="s">
        <v>239</v>
      </c>
      <c r="R1572" s="32" t="s">
        <v>2851</v>
      </c>
      <c r="S1572" s="32">
        <v>14</v>
      </c>
      <c r="T1572" s="32" t="s">
        <v>316</v>
      </c>
      <c r="U1572" s="32">
        <v>14</v>
      </c>
      <c r="V1572" s="32" t="s">
        <v>316</v>
      </c>
      <c r="X1572" s="32">
        <f t="shared" si="105"/>
        <v>14</v>
      </c>
      <c r="Y1572" s="32">
        <f>(CPI!$B$112/O1572)*X1572</f>
        <v>18.017853220464993</v>
      </c>
      <c r="Z1572" s="38" t="s">
        <v>262</v>
      </c>
      <c r="AA1572" s="35" t="s">
        <v>1399</v>
      </c>
      <c r="AH1572" s="32" t="s">
        <v>411</v>
      </c>
      <c r="AK1572" s="40" t="s">
        <v>2857</v>
      </c>
      <c r="AL1572" s="32">
        <v>2005</v>
      </c>
      <c r="AM1572" s="32" t="s">
        <v>2858</v>
      </c>
      <c r="AN1572" s="32" t="s">
        <v>2859</v>
      </c>
      <c r="AO1572" s="38" t="s">
        <v>2860</v>
      </c>
      <c r="AP1572" s="35" t="s">
        <v>396</v>
      </c>
    </row>
    <row r="1573" spans="1:42" x14ac:dyDescent="0.2">
      <c r="A1573" s="40">
        <v>168</v>
      </c>
      <c r="B1573" s="40">
        <v>1573</v>
      </c>
      <c r="C1573" s="40" t="s">
        <v>149</v>
      </c>
      <c r="D1573" s="38" t="s">
        <v>45</v>
      </c>
      <c r="E1573" s="32" t="s">
        <v>2183</v>
      </c>
      <c r="F1573" s="32" t="s">
        <v>237</v>
      </c>
      <c r="G1573" s="38" t="s">
        <v>1923</v>
      </c>
      <c r="H1573" s="32" t="s">
        <v>151</v>
      </c>
      <c r="I1573" s="32" t="s">
        <v>61</v>
      </c>
      <c r="J1573" s="32" t="s">
        <v>2853</v>
      </c>
      <c r="K1573" s="32" t="s">
        <v>1513</v>
      </c>
      <c r="L1573" s="32" t="s">
        <v>30</v>
      </c>
      <c r="M1573" s="32" t="s">
        <v>30</v>
      </c>
      <c r="N1573" s="40">
        <v>2000</v>
      </c>
      <c r="O1573" s="32">
        <f>VLOOKUP(Data!N1047, CPI!$A$2:$B$112, 2, 0)</f>
        <v>236.73599999999999</v>
      </c>
      <c r="P1573" s="32" t="s">
        <v>7</v>
      </c>
      <c r="Q1573" s="32" t="s">
        <v>239</v>
      </c>
      <c r="R1573" s="32" t="s">
        <v>2850</v>
      </c>
      <c r="S1573" s="32">
        <v>648</v>
      </c>
      <c r="T1573" s="32" t="s">
        <v>316</v>
      </c>
      <c r="U1573" s="32">
        <v>648</v>
      </c>
      <c r="V1573" s="32" t="s">
        <v>316</v>
      </c>
      <c r="X1573" s="32">
        <f t="shared" si="105"/>
        <v>648</v>
      </c>
      <c r="Y1573" s="32">
        <f>(CPI!$B$112/O1573)*X1573</f>
        <v>833.9692062043797</v>
      </c>
      <c r="Z1573" s="38" t="s">
        <v>262</v>
      </c>
      <c r="AA1573" s="35" t="s">
        <v>1399</v>
      </c>
      <c r="AH1573" s="32" t="s">
        <v>411</v>
      </c>
      <c r="AK1573" s="40" t="s">
        <v>2857</v>
      </c>
      <c r="AL1573" s="32">
        <v>2005</v>
      </c>
      <c r="AM1573" s="32" t="s">
        <v>2858</v>
      </c>
      <c r="AN1573" s="32" t="s">
        <v>2859</v>
      </c>
      <c r="AO1573" s="38" t="s">
        <v>2860</v>
      </c>
      <c r="AP1573" s="35" t="s">
        <v>396</v>
      </c>
    </row>
    <row r="1574" spans="1:42" x14ac:dyDescent="0.2">
      <c r="A1574" s="40">
        <v>168</v>
      </c>
      <c r="B1574" s="40">
        <v>1574</v>
      </c>
      <c r="C1574" s="40" t="s">
        <v>149</v>
      </c>
      <c r="D1574" s="38" t="s">
        <v>45</v>
      </c>
      <c r="E1574" s="32" t="s">
        <v>2183</v>
      </c>
      <c r="F1574" s="32" t="s">
        <v>237</v>
      </c>
      <c r="G1574" s="38" t="s">
        <v>154</v>
      </c>
      <c r="H1574" s="32" t="s">
        <v>151</v>
      </c>
      <c r="I1574" s="32" t="s">
        <v>61</v>
      </c>
      <c r="J1574" s="32" t="s">
        <v>2853</v>
      </c>
      <c r="K1574" s="32" t="s">
        <v>1513</v>
      </c>
      <c r="L1574" s="32" t="s">
        <v>30</v>
      </c>
      <c r="M1574" s="32" t="s">
        <v>30</v>
      </c>
      <c r="N1574" s="40">
        <v>2000</v>
      </c>
      <c r="O1574" s="32">
        <f>VLOOKUP(Data!N1048, CPI!$A$2:$B$112, 2, 0)</f>
        <v>236.73599999999999</v>
      </c>
      <c r="P1574" s="32" t="s">
        <v>7</v>
      </c>
      <c r="Q1574" s="32" t="s">
        <v>239</v>
      </c>
      <c r="R1574" s="32" t="s">
        <v>2851</v>
      </c>
      <c r="S1574" s="32">
        <v>87</v>
      </c>
      <c r="T1574" s="32" t="s">
        <v>316</v>
      </c>
      <c r="U1574" s="32">
        <v>87</v>
      </c>
      <c r="V1574" s="32" t="s">
        <v>316</v>
      </c>
      <c r="X1574" s="32">
        <f t="shared" si="105"/>
        <v>87</v>
      </c>
      <c r="Y1574" s="32">
        <f>(CPI!$B$112/O1574)*X1574</f>
        <v>111.96808787003246</v>
      </c>
      <c r="Z1574" s="38" t="s">
        <v>262</v>
      </c>
      <c r="AA1574" s="35" t="s">
        <v>1399</v>
      </c>
      <c r="AH1574" s="32" t="s">
        <v>411</v>
      </c>
      <c r="AK1574" s="40" t="s">
        <v>2857</v>
      </c>
      <c r="AL1574" s="32">
        <v>2005</v>
      </c>
      <c r="AM1574" s="32" t="s">
        <v>2858</v>
      </c>
      <c r="AN1574" s="32" t="s">
        <v>2859</v>
      </c>
      <c r="AO1574" s="38" t="s">
        <v>2860</v>
      </c>
      <c r="AP1574" s="35" t="s">
        <v>396</v>
      </c>
    </row>
  </sheetData>
  <autoFilter ref="A1:AP1574" xr:uid="{67462932-4897-4B9A-8E1C-9F7AFF98E4E4}">
    <sortState xmlns:xlrd2="http://schemas.microsoft.com/office/spreadsheetml/2017/richdata2" ref="A2:AP1574">
      <sortCondition ref="A1:A1574"/>
    </sortState>
  </autoFilter>
  <phoneticPr fontId="10" type="noConversion"/>
  <hyperlinks>
    <hyperlink ref="AC113" r:id="rId1" xr:uid="{341383BA-76A9-4A26-A4A3-60A7CBC856A3}"/>
    <hyperlink ref="AC114" r:id="rId2" xr:uid="{865E714C-5559-44C3-8705-EC061D8ADADD}"/>
    <hyperlink ref="AC255" r:id="rId3" xr:uid="{43C3650B-8CAB-40CF-89D3-8CC3D9BD4CFB}"/>
    <hyperlink ref="AC256" r:id="rId4" xr:uid="{C7DD1061-DE06-4641-82BE-817B9F49E41B}"/>
    <hyperlink ref="AC257" r:id="rId5" xr:uid="{14E17470-11FA-4ED0-8CC0-AC1D42330448}"/>
    <hyperlink ref="AC258" r:id="rId6" xr:uid="{3DC8D700-C701-47A9-A5FF-F7BE5BA2C28E}"/>
    <hyperlink ref="AC507" r:id="rId7" xr:uid="{E74B6CA9-9CA1-4DE2-BEB4-8631F3FF1C53}"/>
    <hyperlink ref="AC508" r:id="rId8" xr:uid="{CABFD1A8-7FDD-4D73-9495-5FFF23470185}"/>
    <hyperlink ref="AF509" r:id="rId9" display="https://www.knbs.or.ke/?wpdmpro=2019-kenya-population-and-housing-census-volume-iv-distribution-of-population-by-socio-economic-characteristics_x000a_Page 372" xr:uid="{95D212A6-FEF5-4B24-AB5F-BEEDAFB5809F}"/>
    <hyperlink ref="AF510" r:id="rId10" display="https://www.knbs.or.ke/?wpdmpro=2019-kenya-population-and-housing-census-volume-iv-distribution-of-population-by-socio-economic-characteristics_x000a_Page 372" xr:uid="{39B64068-A24C-484D-BB92-57C7E2CF5C4D}"/>
    <hyperlink ref="AF511" r:id="rId11" display="https://www.knbs.or.ke/?wpdmpro=2019-kenya-population-and-housing-census-volume-iv-distribution-of-population-by-socio-economic-characteristics_x000a_Page 372" xr:uid="{CB8DFED5-1CC9-4901-AD1B-E56DAFD70EF3}"/>
    <hyperlink ref="AF512" r:id="rId12" display="https://www.knbs.or.ke/?wpdmpro=2019-kenya-population-and-housing-census-volume-iv-distribution-of-population-by-socio-economic-characteristics_x000a_Page 372" xr:uid="{8FC82EA4-3200-4905-BE49-03B5BA50C8AD}"/>
    <hyperlink ref="AC595" r:id="rId13" xr:uid="{008384C0-B5BD-4010-865E-130E9FC3A9ED}"/>
    <hyperlink ref="AC572:AC622" r:id="rId14" display="https://www.knbs.or.ke/?wpdmpro=2019-kenya-population-and-housing-census-volume-i-population-by-county-and-sub-county" xr:uid="{78FDD6A0-FA20-4979-BDAD-99F83E69CC77}"/>
    <hyperlink ref="AF2" r:id="rId15" display="https://www.knbs.or.ke/?wpdmpro=2019-kenya-population-and-housing-census-volume-iv-distribution-of-population-by-socio-economic-characteristics_x000a_Page 372" xr:uid="{C0C46C4D-D721-47AD-8AE4-C18DA8F33CDD}"/>
    <hyperlink ref="AF724" r:id="rId16" xr:uid="{62A388C3-1400-4977-B52E-8E20FCFD8FF2}"/>
    <hyperlink ref="AF3" r:id="rId17" display="https://www.knbs.or.ke/?wpdmpro=2019-kenya-population-and-housing-census-volume-iv-distribution-of-population-by-socio-economic-characteristics_x000a_Page 372" xr:uid="{B88F2AC6-069E-4ED2-8C7E-4C1FFCA55B79}"/>
    <hyperlink ref="AF4" r:id="rId18" display="https://www.knbs.or.ke/?wpdmpro=2019-kenya-population-and-housing-census-volume-iv-distribution-of-population-by-socio-economic-characteristics_x000a_Page 372" xr:uid="{A9864B3A-DA9F-4C30-B36A-5B9074981371}"/>
    <hyperlink ref="AF5" r:id="rId19" display="https://www.knbs.or.ke/?wpdmpro=2019-kenya-population-and-housing-census-volume-iv-distribution-of-population-by-socio-economic-characteristics_x000a_Page 372" xr:uid="{CEE3DDEF-D26E-4FDB-904C-80E2A81A9F5F}"/>
    <hyperlink ref="AF6" r:id="rId20" display="https://www.knbs.or.ke/?wpdmpro=2019-kenya-population-and-housing-census-volume-iv-distribution-of-population-by-socio-economic-characteristics_x000a_Page 372" xr:uid="{BF73A246-60DF-4276-A8A8-94F90F02C884}"/>
    <hyperlink ref="AF7" r:id="rId21" display="https://www.knbs.or.ke/?wpdmpro=2019-kenya-population-and-housing-census-volume-iv-distribution-of-population-by-socio-economic-characteristics_x000a_Page 372" xr:uid="{29017BFA-EA54-4B01-A031-D2E849E3657B}"/>
    <hyperlink ref="AF8" r:id="rId22" display="https://www.knbs.or.ke/?wpdmpro=2019-kenya-population-and-housing-census-volume-iv-distribution-of-population-by-socio-economic-characteristics_x000a_Page 372" xr:uid="{F77E251C-C018-49E0-A731-8190B82B945F}"/>
    <hyperlink ref="AF9" r:id="rId23" display="https://www.knbs.or.ke/?wpdmpro=2019-kenya-population-and-housing-census-volume-iv-distribution-of-population-by-socio-economic-characteristics_x000a_Page 372" xr:uid="{BBA81555-4CB1-498F-BC0A-AC3C58E0413C}"/>
    <hyperlink ref="AF10" r:id="rId24" display="https://www.knbs.or.ke/?wpdmpro=2019-kenya-population-and-housing-census-volume-iv-distribution-of-population-by-socio-economic-characteristics_x000a_Page 372" xr:uid="{125096CD-9A2D-4B4B-85BB-5A396E409680}"/>
    <hyperlink ref="AF11" r:id="rId25" display="https://www.knbs.or.ke/?wpdmpro=2019-kenya-population-and-housing-census-volume-iv-distribution-of-population-by-socio-economic-characteristics_x000a_Page 372" xr:uid="{B8833678-33DA-49FB-9ABF-BC353E6E4BD6}"/>
    <hyperlink ref="AF12" r:id="rId26" display="https://www.knbs.or.ke/?wpdmpro=2019-kenya-population-and-housing-census-volume-iv-distribution-of-population-by-socio-economic-characteristics_x000a_Page 372" xr:uid="{EE483DFF-C666-4CD1-9BA0-6B6216B8CF68}"/>
    <hyperlink ref="AF13" r:id="rId27" display="https://www.knbs.or.ke/?wpdmpro=2019-kenya-population-and-housing-census-volume-iv-distribution-of-population-by-socio-economic-characteristics_x000a_Page 372" xr:uid="{5F4392B1-3292-4D52-BEB1-920BDE2DE8CA}"/>
    <hyperlink ref="AF14" r:id="rId28" display="https://www.knbs.or.ke/?wpdmpro=2019-kenya-population-and-housing-census-volume-iv-distribution-of-population-by-socio-economic-characteristics_x000a_Page 372" xr:uid="{78F8D196-85CB-4A54-81A3-1FFC99CC3E4C}"/>
    <hyperlink ref="AF15" r:id="rId29" display="https://www.knbs.or.ke/?wpdmpro=2019-kenya-population-and-housing-census-volume-iv-distribution-of-population-by-socio-economic-characteristics_x000a_Page 372" xr:uid="{9CA95B49-F1F2-49D3-A098-C6C4129C3FD5}"/>
    <hyperlink ref="AF16" r:id="rId30" display="https://www.knbs.or.ke/?wpdmpro=2019-kenya-population-and-housing-census-volume-iv-distribution-of-population-by-socio-economic-characteristics_x000a_Page 372" xr:uid="{19FA5002-9E38-4BE9-AB12-6131C3FD8C8D}"/>
    <hyperlink ref="AF17" r:id="rId31" display="https://www.knbs.or.ke/?wpdmpro=2019-kenya-population-and-housing-census-volume-iv-distribution-of-population-by-socio-economic-characteristics_x000a_Page 372" xr:uid="{9AC8F543-EBBD-4EF6-99AD-C54EFCED72B5}"/>
    <hyperlink ref="AF18" r:id="rId32" display="https://www.knbs.or.ke/?wpdmpro=2019-kenya-population-and-housing-census-volume-iv-distribution-of-population-by-socio-economic-characteristics_x000a_Page 372" xr:uid="{8495C0C6-CBEC-4100-BFC8-45A5BA6E183A}"/>
    <hyperlink ref="AF19" r:id="rId33" display="https://www.knbs.or.ke/?wpdmpro=2019-kenya-population-and-housing-census-volume-iv-distribution-of-population-by-socio-economic-characteristics_x000a_Page 372" xr:uid="{F18435E6-E3C7-4686-9A93-E5D0F53A9D4D}"/>
    <hyperlink ref="AF20" r:id="rId34" display="https://www.knbs.or.ke/?wpdmpro=2019-kenya-population-and-housing-census-volume-iv-distribution-of-population-by-socio-economic-characteristics_x000a_Page 372" xr:uid="{BCDDE707-0FA7-4A5F-B455-29B7BF98ABD5}"/>
    <hyperlink ref="AF21" r:id="rId35" display="https://www.knbs.or.ke/?wpdmpro=2019-kenya-population-and-housing-census-volume-iv-distribution-of-population-by-socio-economic-characteristics_x000a_Page 372" xr:uid="{0D4C596B-7D05-4777-AA9C-583CA10AB730}"/>
    <hyperlink ref="AF22" r:id="rId36" display="https://www.knbs.or.ke/?wpdmpro=2019-kenya-population-and-housing-census-volume-iv-distribution-of-population-by-socio-economic-characteristics_x000a_Page 372" xr:uid="{FFF628CD-F6B2-46D8-8BB0-09A4EBC45204}"/>
    <hyperlink ref="AF23" r:id="rId37" display="https://www.knbs.or.ke/?wpdmpro=2019-kenya-population-and-housing-census-volume-iv-distribution-of-population-by-socio-economic-characteristics_x000a_Page 372" xr:uid="{FDA1546D-3F75-4B49-9B48-398FC0DEEB7C}"/>
    <hyperlink ref="AF24" r:id="rId38" display="https://www.knbs.or.ke/?wpdmpro=2019-kenya-population-and-housing-census-volume-iv-distribution-of-population-by-socio-economic-characteristics_x000a_Page 372" xr:uid="{8C1BB94E-131C-4637-A67A-BEAE888C0D93}"/>
    <hyperlink ref="AF25" r:id="rId39" display="https://www.knbs.or.ke/?wpdmpro=2019-kenya-population-and-housing-census-volume-iv-distribution-of-population-by-socio-economic-characteristics_x000a_Page 372" xr:uid="{71408D86-FC29-4F01-94A2-885E4408F113}"/>
    <hyperlink ref="AF26" r:id="rId40" display="https://www.knbs.or.ke/?wpdmpro=2019-kenya-population-and-housing-census-volume-iv-distribution-of-population-by-socio-economic-characteristics_x000a_Page 372" xr:uid="{61A4870D-55FA-424C-8B02-631A2434771A}"/>
    <hyperlink ref="AF27" r:id="rId41" display="https://www.knbs.or.ke/?wpdmpro=2019-kenya-population-and-housing-census-volume-iv-distribution-of-population-by-socio-economic-characteristics_x000a_Page 372" xr:uid="{0CAC0A5D-A3BB-4173-8709-1F6354FE6198}"/>
    <hyperlink ref="AF28" r:id="rId42" display="https://www.knbs.or.ke/?wpdmpro=2019-kenya-population-and-housing-census-volume-iv-distribution-of-population-by-socio-economic-characteristics_x000a_Page 372" xr:uid="{0BCED7A1-CB56-4B13-8DC3-9434E3DB6720}"/>
    <hyperlink ref="AF29" r:id="rId43" display="https://www.knbs.or.ke/?wpdmpro=2019-kenya-population-and-housing-census-volume-iv-distribution-of-population-by-socio-economic-characteristics_x000a_Page 372" xr:uid="{0A33A68A-4BD8-4016-84E2-B8287C90A9D8}"/>
    <hyperlink ref="AF30" r:id="rId44" display="https://www.knbs.or.ke/?wpdmpro=2019-kenya-population-and-housing-census-volume-iv-distribution-of-population-by-socio-economic-characteristics_x000a_Page 372" xr:uid="{7FABA56A-9598-405D-BB07-BCFBCEDE27D1}"/>
    <hyperlink ref="AF31" r:id="rId45" display="https://www.knbs.or.ke/?wpdmpro=2019-kenya-population-and-housing-census-volume-iv-distribution-of-population-by-socio-economic-characteristics_x000a_Page 372" xr:uid="{0E625F3C-ADFC-437B-8B67-A0C1149C1635}"/>
    <hyperlink ref="AF32" r:id="rId46" display="https://www.knbs.or.ke/?wpdmpro=2019-kenya-population-and-housing-census-volume-iv-distribution-of-population-by-socio-economic-characteristics_x000a_Page 372" xr:uid="{218F283A-874D-4EE8-BC1B-1AB95669472A}"/>
    <hyperlink ref="AF33" r:id="rId47" display="https://www.knbs.or.ke/?wpdmpro=2019-kenya-population-and-housing-census-volume-iv-distribution-of-population-by-socio-economic-characteristics_x000a_Page 372" xr:uid="{C09CF278-7403-426F-9215-B5DEA6A279F4}"/>
    <hyperlink ref="AF34" r:id="rId48" display="https://www.knbs.or.ke/?wpdmpro=2019-kenya-population-and-housing-census-volume-iv-distribution-of-population-by-socio-economic-characteristics_x000a_Page 372" xr:uid="{088C34A9-41DA-45BB-A6BA-72D2A8599B92}"/>
    <hyperlink ref="AF35" r:id="rId49" display="https://www.knbs.or.ke/?wpdmpro=2019-kenya-population-and-housing-census-volume-iv-distribution-of-population-by-socio-economic-characteristics_x000a_Page 372" xr:uid="{156C1118-9097-4C50-8DBE-E17C222C15D8}"/>
    <hyperlink ref="AF36" r:id="rId50" display="https://www.knbs.or.ke/?wpdmpro=2019-kenya-population-and-housing-census-volume-iv-distribution-of-population-by-socio-economic-characteristics_x000a_Page 372" xr:uid="{B3D40D20-F030-4A1D-84C9-DEB03E7F6AA5}"/>
    <hyperlink ref="AF37" r:id="rId51" display="https://www.knbs.or.ke/?wpdmpro=2019-kenya-population-and-housing-census-volume-iv-distribution-of-population-by-socio-economic-characteristics_x000a_Page 372" xr:uid="{1BDD3496-4519-401D-B6DF-C1A3E26A5A2D}"/>
    <hyperlink ref="AF38" r:id="rId52" display="https://www.knbs.or.ke/?wpdmpro=2019-kenya-population-and-housing-census-volume-iv-distribution-of-population-by-socio-economic-characteristics_x000a_Page 372" xr:uid="{8B82C990-E463-4213-9FF6-9F56932BD6F8}"/>
    <hyperlink ref="AC2" r:id="rId53" xr:uid="{37CC193F-3D42-4F88-9D75-E9E6C4E391B6}"/>
    <hyperlink ref="AC106" r:id="rId54" xr:uid="{A06C36EE-3396-4812-B0E5-4D057F078CD9}"/>
    <hyperlink ref="AF106" r:id="rId55" xr:uid="{DDBE8B88-A68A-4D37-A4EF-DEF2FA81358B}"/>
    <hyperlink ref="L980" r:id="rId56" display="https://tools.wmflabs.org/geohack/geohack.php?language=vi&amp;pagename=Ph%C6%B0%E1%BB%9Bc_V%C4%A9nh_%C4%90%C3%B4ng&amp;params=10_34_2_N_106_43_3_E_region:VN_type:adm3rd" xr:uid="{0DB970EC-5249-4834-AA4D-3F29F449DF2A}"/>
    <hyperlink ref="L981" r:id="rId57" display="https://tools.wmflabs.org/geohack/geohack.php?language=vi&amp;pagename=Ph%C6%B0%E1%BB%9Bc_V%C4%A9nh_%C4%90%C3%B4ng&amp;params=10_34_2_N_106_43_3_E_region:VN_type:adm3rd" xr:uid="{8CDA928B-6F3B-431B-8621-06710BA28FED}"/>
    <hyperlink ref="AF1245" r:id="rId58" display="https://www.citypopulation.de/en/vietnam/namdinh/admin/365__giao_th%E1%BB%A7y/" xr:uid="{E5A6447C-BB17-4D1A-A2ED-EE8991581C21}"/>
    <hyperlink ref="AF1246" r:id="rId59" display="https://www.citypopulation.de/en/vietnam/namdinh/admin/365__giao_th%E1%BB%A7y/" xr:uid="{81F6EE9C-1197-47B0-B763-BE6BC44842C2}"/>
    <hyperlink ref="AF1247" r:id="rId60" display="https://www.citypopulation.de/en/vietnam/namdinh/admin/365__giao_th%E1%BB%A7y/" xr:uid="{87668597-769B-46A4-9FB3-A1793B891F08}"/>
    <hyperlink ref="AF1248" r:id="rId61" display="https://www.citypopulation.de/en/vietnam/namdinh/admin/365__giao_th%E1%BB%A7y/" xr:uid="{424ECC96-2E1C-40EA-B970-8D50E03E4596}"/>
  </hyperlinks>
  <pageMargins left="0.7" right="0.7" top="0.75" bottom="0.75" header="0.3" footer="0.3"/>
  <pageSetup orientation="portrait" r:id="rId62"/>
  <extLst>
    <ext xmlns:x14="http://schemas.microsoft.com/office/spreadsheetml/2009/9/main" uri="{CCE6A557-97BC-4b89-ADB6-D9C93CAAB3DF}">
      <x14:dataValidations xmlns:xm="http://schemas.microsoft.com/office/excel/2006/main" count="8">
        <x14:dataValidation type="list" allowBlank="1" showInputMessage="1" showErrorMessage="1" xr:uid="{220FB79F-EC4A-441F-9221-0753CC03C38D}">
          <x14:formula1>
            <xm:f>Validation!$A$2:$A$16</xm:f>
          </x14:formula1>
          <xm:sqref>D1019:D1020 D1478:D1480 C1433:C1436 C1438:C1441 C1443:C1446 D113:D114 C1:C58 D404 C80:C1431 C1448:C1048576</xm:sqref>
        </x14:dataValidation>
        <x14:dataValidation type="list" allowBlank="1" showInputMessage="1" showErrorMessage="1" xr:uid="{2D7D0530-2FF7-4B1E-826F-8BE447F6A546}">
          <x14:formula1>
            <xm:f>Validation!$H$2:$H$11</xm:f>
          </x14:formula1>
          <xm:sqref>Q2:Q266 Q269:Q631 Q633:Q1048576</xm:sqref>
        </x14:dataValidation>
        <x14:dataValidation type="list" allowBlank="1" showInputMessage="1" showErrorMessage="1" xr:uid="{1D432F9D-16B0-456C-A16C-A81D7C2B4786}">
          <x14:formula1>
            <xm:f>Validation!$G$2:$G$16</xm:f>
          </x14:formula1>
          <xm:sqref>P1:P266 P269:P1048576</xm:sqref>
        </x14:dataValidation>
        <x14:dataValidation type="list" allowBlank="1" showInputMessage="1" showErrorMessage="1" xr:uid="{6892E74B-3B1B-42EC-9B6D-A700CECC7BDB}">
          <x14:formula1>
            <xm:f>Validation!$E$2:$E$5</xm:f>
          </x14:formula1>
          <xm:sqref>H1:H937 H939:H1048576</xm:sqref>
        </x14:dataValidation>
        <x14:dataValidation type="list" allowBlank="1" showInputMessage="1" showErrorMessage="1" xr:uid="{36B718AE-14A5-4F09-82E9-DE0F896AD906}">
          <x14:formula1>
            <xm:f>Validation!$B$2:$B$48</xm:f>
          </x14:formula1>
          <xm:sqref>D115:D403 D1:D112 C1432 C1437 C1442 C1447 D1021:D1477 D405:D1018 D1481:D1048576</xm:sqref>
        </x14:dataValidation>
        <x14:dataValidation type="list" allowBlank="1" showInputMessage="1" showErrorMessage="1" xr:uid="{CE66C609-2CD6-48BB-B628-5DAADE240F55}">
          <x14:formula1>
            <xm:f>Validation!$F$2:$F$10</xm:f>
          </x14:formula1>
          <xm:sqref>I1:I549 I551:I1048576</xm:sqref>
        </x14:dataValidation>
        <x14:dataValidation type="list" allowBlank="1" showInputMessage="1" showErrorMessage="1" xr:uid="{2D529B3F-8EDB-4727-BE5D-188508D85692}">
          <x14:formula1>
            <xm:f>Validation!$C$2:$C$35</xm:f>
          </x14:formula1>
          <xm:sqref>F686:F692 F695:F696 F100:G100 G501:G503 F671:F672 F699:F715 G712:G715 F1:F99 F683:F684 F679:F680 F675:F676 F101:F668 F721:F1048576</xm:sqref>
        </x14:dataValidation>
        <x14:dataValidation type="list" allowBlank="1" showInputMessage="1" showErrorMessage="1" xr:uid="{0DFA1FFE-DDE1-4FB9-A60C-76FCD01E1A30}">
          <x14:formula1>
            <xm:f>Validation!$D$2:$D$93</xm:f>
          </x14:formula1>
          <xm:sqref>G1:G39 G504:G711 F420 G88:G99 G41:G86 G101:G112 G114:G500 G716:G1048576</xm:sqref>
        </x14:dataValidation>
      </x14:dataValidations>
    </ext>
  </extLst>
</worksheet>
</file>

<file path=xl/worksheets/sheet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C43237-12EE-4751-8353-134E0CF0E988}">
  <dimension ref="A1:J123"/>
  <sheetViews>
    <sheetView topLeftCell="A39" zoomScale="85" zoomScaleNormal="85" workbookViewId="0">
      <selection activeCell="E31" sqref="E31:E34"/>
    </sheetView>
  </sheetViews>
  <sheetFormatPr defaultColWidth="8.7109375" defaultRowHeight="12.75" x14ac:dyDescent="0.2"/>
  <cols>
    <col min="1" max="1" width="56.42578125" style="83" bestFit="1" customWidth="1"/>
    <col min="2" max="2" width="11.28515625" style="83" bestFit="1" customWidth="1"/>
    <col min="3" max="3" width="12.28515625" style="83" bestFit="1" customWidth="1"/>
    <col min="4" max="4" width="11.28515625" style="83" bestFit="1" customWidth="1"/>
    <col min="5" max="5" width="19" style="84" bestFit="1" customWidth="1"/>
    <col min="6" max="6" width="17.42578125" style="85" bestFit="1" customWidth="1"/>
    <col min="7" max="16384" width="8.7109375" style="78"/>
  </cols>
  <sheetData>
    <row r="1" spans="1:10" ht="13.5" thickBot="1" x14ac:dyDescent="0.25">
      <c r="A1" s="103" t="s">
        <v>2968</v>
      </c>
      <c r="B1" s="100" t="s">
        <v>2969</v>
      </c>
      <c r="C1" s="101"/>
      <c r="D1" s="101"/>
      <c r="E1" s="101"/>
      <c r="F1" s="102"/>
    </row>
    <row r="2" spans="1:10" ht="13.5" thickBot="1" x14ac:dyDescent="0.25">
      <c r="A2" s="104"/>
      <c r="B2" s="79" t="s">
        <v>2963</v>
      </c>
      <c r="C2" s="79" t="s">
        <v>2965</v>
      </c>
      <c r="D2" s="79" t="s">
        <v>2964</v>
      </c>
      <c r="E2" s="80" t="s">
        <v>2966</v>
      </c>
      <c r="F2" s="81" t="s">
        <v>2967</v>
      </c>
      <c r="G2" s="82"/>
      <c r="H2" s="82"/>
      <c r="I2" s="82"/>
      <c r="J2" s="82"/>
    </row>
    <row r="3" spans="1:10" s="82" customFormat="1" x14ac:dyDescent="0.2">
      <c r="A3" s="79" t="s">
        <v>2902</v>
      </c>
      <c r="B3" s="79"/>
      <c r="C3" s="79"/>
      <c r="D3" s="79"/>
      <c r="E3" s="80"/>
      <c r="F3" s="81"/>
    </row>
    <row r="4" spans="1:10" x14ac:dyDescent="0.2">
      <c r="A4" s="83" t="s">
        <v>154</v>
      </c>
      <c r="B4" s="83">
        <f>SUMIF(Data!$G:$G, A4, Data!$Y:$Y)</f>
        <v>4393975.3445038926</v>
      </c>
      <c r="C4" s="83">
        <f>SUMIFS(Data!$Y:$Y, Data!$G:$G, A4, Data!$K:$K, "Vietnam")</f>
        <v>4386632.2155357432</v>
      </c>
      <c r="D4" s="83">
        <f>SUMIFS(Data!$Y:$Y, Data!$G:$G, A4, Data!$K:$K, "Kenya")</f>
        <v>7343.1289681490807</v>
      </c>
      <c r="E4" s="84">
        <f>C4/'Number of Observations ESS'!C2</f>
        <v>36862.455592737337</v>
      </c>
      <c r="F4" s="85">
        <f>D4/'Number of Observations ESS'!D2</f>
        <v>229.47278025465877</v>
      </c>
    </row>
    <row r="5" spans="1:10" x14ac:dyDescent="0.2">
      <c r="A5" s="83" t="s">
        <v>179</v>
      </c>
      <c r="B5" s="83">
        <f>SUMIF(Data!$G:$G, A5, Data!$Y:$Y)</f>
        <v>323.51661227104904</v>
      </c>
      <c r="C5" s="83">
        <f>SUMIFS(Data!$Y:$Y, Data!$G:$G, A5, Data!$K:$K, "Vietnam")</f>
        <v>8.5687441068890617</v>
      </c>
      <c r="D5" s="83">
        <f>SUMIFS(Data!$Y:$Y, Data!$G:$G, A5, Data!$K:$K, "Kenya")</f>
        <v>314.94786816415996</v>
      </c>
      <c r="E5" s="84">
        <f>C5/'Number of Observations ESS'!C3</f>
        <v>1.7137488213778123</v>
      </c>
      <c r="F5" s="85">
        <f>D5/'Number of Observations ESS'!D3</f>
        <v>314.94786816415996</v>
      </c>
    </row>
    <row r="6" spans="1:10" x14ac:dyDescent="0.2">
      <c r="A6" s="83" t="s">
        <v>213</v>
      </c>
      <c r="B6" s="83">
        <f>SUMIF(Data!$G:$G, A6, Data!$Y:$Y)</f>
        <v>26.547309980548818</v>
      </c>
      <c r="C6" s="83">
        <f>SUMIFS(Data!$Y:$Y, Data!$G:$G, A6, Data!$K:$K, "Vietnam")</f>
        <v>26.547309980548818</v>
      </c>
      <c r="D6" s="83">
        <f>SUMIFS(Data!$Y:$Y, Data!$G:$G, A6, Data!$K:$K, "Kenya")</f>
        <v>0</v>
      </c>
      <c r="E6" s="84">
        <f>C6/'Number of Observations ESS'!C4</f>
        <v>13.273654990274409</v>
      </c>
      <c r="F6" s="85">
        <v>0</v>
      </c>
    </row>
    <row r="7" spans="1:10" x14ac:dyDescent="0.2">
      <c r="A7" s="83" t="s">
        <v>117</v>
      </c>
      <c r="B7" s="83">
        <f>SUMIF(Data!$G:$G, A7, Data!$Y:$Y)</f>
        <v>25740.663584163623</v>
      </c>
      <c r="C7" s="83">
        <f>SUMIFS(Data!$Y:$Y, Data!$G:$G, A7, Data!$K:$K, "Vietnam")</f>
        <v>5.5593003037604252</v>
      </c>
      <c r="D7" s="83">
        <f>SUMIFS(Data!$Y:$Y, Data!$G:$G, A7, Data!$K:$K, "Kenya")</f>
        <v>25735.104283859862</v>
      </c>
      <c r="E7" s="84">
        <f>C7/'Number of Observations ESS'!C5</f>
        <v>0.50539093670549318</v>
      </c>
      <c r="F7" s="85">
        <f>D7/'Number of Observations ESS'!D5</f>
        <v>1072.2960118274943</v>
      </c>
    </row>
    <row r="8" spans="1:10" x14ac:dyDescent="0.2">
      <c r="A8" s="83" t="s">
        <v>2907</v>
      </c>
      <c r="B8" s="83">
        <f>SUMIF(Data!$G:$G, A8, Data!$Y:$Y)</f>
        <v>45207.71779425312</v>
      </c>
      <c r="C8" s="83">
        <f>SUMIFS(Data!$Y:$Y, Data!$G:$G, A8, Data!$K:$K, "Vietnam")</f>
        <v>14025.573549466362</v>
      </c>
      <c r="D8" s="83">
        <f>SUMIFS(Data!$Y:$Y, Data!$G:$G, A8, Data!$K:$K, "Kenya")</f>
        <v>31182.144244786745</v>
      </c>
      <c r="E8" s="84">
        <f>C8/'Number of Observations ESS'!C6</f>
        <v>876.59834684164764</v>
      </c>
      <c r="F8" s="85">
        <f>D8/'Number of Observations ESS'!D6</f>
        <v>1948.8840152991716</v>
      </c>
    </row>
    <row r="9" spans="1:10" ht="13.5" thickBot="1" x14ac:dyDescent="0.25">
      <c r="A9" s="86" t="s">
        <v>1923</v>
      </c>
      <c r="B9" s="86">
        <f>SUMIF(Data!$G:$G, A9, Data!$Y:$Y)</f>
        <v>172988.74713244589</v>
      </c>
      <c r="C9" s="86">
        <f>SUMIFS(Data!$Y:$Y, Data!$G:$G, A9, Data!$K:$K, "Vietnam")</f>
        <v>132611.20163338259</v>
      </c>
      <c r="D9" s="86">
        <f>SUMIFS(Data!$Y:$Y, Data!$G:$G, A9, Data!$K:$K, "Kenya")</f>
        <v>40377.54549906333</v>
      </c>
      <c r="E9" s="87">
        <f>C9/'Number of Observations ESS'!C7</f>
        <v>2173.9541251374194</v>
      </c>
      <c r="F9" s="88">
        <f>D9/'Number of Observations ESS'!D7</f>
        <v>2375.1497352390193</v>
      </c>
    </row>
    <row r="10" spans="1:10" s="82" customFormat="1" x14ac:dyDescent="0.2">
      <c r="A10" s="79" t="s">
        <v>2958</v>
      </c>
      <c r="B10" s="89"/>
      <c r="C10" s="89"/>
      <c r="D10" s="89"/>
      <c r="E10" s="90"/>
      <c r="F10" s="91"/>
      <c r="H10" s="78"/>
      <c r="I10" s="78"/>
      <c r="J10" s="78"/>
    </row>
    <row r="11" spans="1:10" x14ac:dyDescent="0.2">
      <c r="A11" s="83" t="s">
        <v>246</v>
      </c>
      <c r="B11" s="83">
        <f>SUMIF(Data!$G:$G, A11, Data!$Y:$Y)</f>
        <v>0</v>
      </c>
      <c r="C11" s="83">
        <f>SUMIFS(Data!$Y:$Y, Data!$G:$G, A11, Data!$K:$K, "Vietnam")</f>
        <v>0</v>
      </c>
      <c r="D11" s="83">
        <f>SUMIFS(Data!$Y:$Y, Data!$G:$G, A11, Data!$K:$K, "Kenya")</f>
        <v>0</v>
      </c>
      <c r="E11" s="84">
        <v>0</v>
      </c>
      <c r="F11" s="85">
        <v>0</v>
      </c>
    </row>
    <row r="12" spans="1:10" x14ac:dyDescent="0.2">
      <c r="A12" s="83" t="s">
        <v>15</v>
      </c>
      <c r="B12" s="83">
        <f>SUMIF(Data!$G:$G, A12, Data!$Y:$Y)</f>
        <v>0</v>
      </c>
      <c r="C12" s="83">
        <f>SUMIFS(Data!$Y:$Y, Data!$G:$G, A12, Data!$K:$K, "Vietnam")</f>
        <v>0</v>
      </c>
      <c r="D12" s="83">
        <f>SUMIFS(Data!$Y:$Y, Data!$G:$G, A12, Data!$K:$K, "Kenya")</f>
        <v>0</v>
      </c>
      <c r="E12" s="84">
        <f>C12/'Number of Observations ESS'!C10</f>
        <v>0</v>
      </c>
      <c r="F12" s="85">
        <v>0</v>
      </c>
    </row>
    <row r="13" spans="1:10" x14ac:dyDescent="0.2">
      <c r="A13" s="83" t="s">
        <v>1102</v>
      </c>
      <c r="B13" s="83">
        <f>SUMIF(Data!$G:$G, A13, Data!$Y:$Y)</f>
        <v>2305.9221582652708</v>
      </c>
      <c r="C13" s="83">
        <f>SUMIFS(Data!$Y:$Y, Data!$G:$G, A13, Data!$K:$K, "Vietnam")</f>
        <v>472.564596897059</v>
      </c>
      <c r="D13" s="83">
        <f>SUMIFS(Data!$Y:$Y, Data!$G:$G, A13, Data!$K:$K, "Kenya")</f>
        <v>1833.3575613682124</v>
      </c>
      <c r="E13" s="84">
        <f>C13/'Number of Observations ESS'!C11</f>
        <v>59.070574612132376</v>
      </c>
      <c r="F13" s="85">
        <f>D13/'Number of Observations ESS'!D11</f>
        <v>76.389898390342182</v>
      </c>
    </row>
    <row r="14" spans="1:10" x14ac:dyDescent="0.2">
      <c r="A14" s="83" t="s">
        <v>251</v>
      </c>
      <c r="B14" s="83">
        <f>SUMIF(Data!$G:$G, A14, Data!$Y:$Y)</f>
        <v>3160.63938158674</v>
      </c>
      <c r="C14" s="83">
        <f>SUMIFS(Data!$Y:$Y, Data!$G:$G, A14, Data!$K:$K, "Vietnam")</f>
        <v>0</v>
      </c>
      <c r="D14" s="83">
        <f>SUMIFS(Data!$Y:$Y, Data!$G:$G, A14, Data!$K:$K, "Kenya")</f>
        <v>3160.63938158674</v>
      </c>
      <c r="E14" s="84">
        <v>0</v>
      </c>
      <c r="F14" s="85">
        <f>D14/'Number of Observations ESS'!D12</f>
        <v>1053.5464605289133</v>
      </c>
    </row>
    <row r="15" spans="1:10" ht="13.5" thickBot="1" x14ac:dyDescent="0.25">
      <c r="A15" s="86" t="s">
        <v>2908</v>
      </c>
      <c r="B15" s="86">
        <f>SUMIF(Data!$G:$G, A15, Data!$Y:$Y)</f>
        <v>755772.21768884466</v>
      </c>
      <c r="C15" s="86">
        <f>SUMIFS(Data!$Y:$Y, Data!$G:$G, A15, Data!$K:$K, "Vietnam")</f>
        <v>2280.0145050499646</v>
      </c>
      <c r="D15" s="86">
        <f>SUMIFS(Data!$Y:$Y, Data!$G:$G, A15, Data!$K:$K, "Kenya")</f>
        <v>753492.20318379463</v>
      </c>
      <c r="E15" s="87">
        <f>C15/'Number of Observations ESS'!C13</f>
        <v>91.200580201998577</v>
      </c>
      <c r="F15" s="88">
        <f>D15/'Number of Observations ESS'!D13</f>
        <v>50232.813545586308</v>
      </c>
    </row>
    <row r="16" spans="1:10" s="82" customFormat="1" x14ac:dyDescent="0.2">
      <c r="A16" s="79" t="s">
        <v>2911</v>
      </c>
      <c r="B16" s="89"/>
      <c r="C16" s="89"/>
      <c r="D16" s="89"/>
      <c r="E16" s="90"/>
      <c r="F16" s="91"/>
      <c r="H16" s="78"/>
      <c r="I16" s="78"/>
      <c r="J16" s="78"/>
    </row>
    <row r="17" spans="1:10" x14ac:dyDescent="0.2">
      <c r="A17" s="83" t="s">
        <v>212</v>
      </c>
      <c r="B17" s="83">
        <f>SUMIF(Data!$G:$G, A17, Data!$Y:$Y)</f>
        <v>92.233564787686802</v>
      </c>
      <c r="C17" s="83">
        <f>SUMIFS(Data!$Y:$Y, Data!$G:$G, A17, Data!$K:$K, "Vietnam")</f>
        <v>0</v>
      </c>
      <c r="D17" s="83">
        <f>SUMIFS(Data!$Y:$Y, Data!$G:$G, A17, Data!$K:$K, "Kenya")</f>
        <v>92.233564787686802</v>
      </c>
      <c r="E17" s="84">
        <v>0</v>
      </c>
      <c r="F17" s="85">
        <f>D17/'Number of Observations ESS'!D15</f>
        <v>46.116782393843401</v>
      </c>
    </row>
    <row r="18" spans="1:10" x14ac:dyDescent="0.2">
      <c r="A18" s="83" t="s">
        <v>152</v>
      </c>
      <c r="B18" s="83">
        <f>SUMIF(Data!$G:$G, A18, Data!$Y:$Y)</f>
        <v>22588.392753894193</v>
      </c>
      <c r="C18" s="83">
        <f>SUMIFS(Data!$Y:$Y, Data!$G:$G, A18, Data!$K:$K, "Vietnam")</f>
        <v>20149.101721591276</v>
      </c>
      <c r="D18" s="83">
        <f>SUMIFS(Data!$Y:$Y, Data!$G:$G, A18, Data!$K:$K, "Kenya")</f>
        <v>2439.2910323029178</v>
      </c>
      <c r="E18" s="84">
        <f>C18/'Number of Observations ESS'!C16</f>
        <v>319.82701145382975</v>
      </c>
      <c r="F18" s="85">
        <f>D18/'Number of Observations ESS'!D16</f>
        <v>135.5161684612732</v>
      </c>
    </row>
    <row r="19" spans="1:10" x14ac:dyDescent="0.2">
      <c r="A19" s="83" t="s">
        <v>153</v>
      </c>
      <c r="B19" s="83">
        <f>SUMIF(Data!$G:$G, A19, Data!$Y:$Y)</f>
        <v>6649.3252901559308</v>
      </c>
      <c r="C19" s="83">
        <f>SUMIFS(Data!$Y:$Y, Data!$G:$G, A19, Data!$K:$K, "Vietnam")</f>
        <v>196.11084043239126</v>
      </c>
      <c r="D19" s="83">
        <f>SUMIFS(Data!$Y:$Y, Data!$G:$G, A19, Data!$K:$K, "Kenya")</f>
        <v>6453.2144497235404</v>
      </c>
      <c r="E19" s="84">
        <f>C19/'Number of Observations ESS'!C17</f>
        <v>24.513855054048907</v>
      </c>
      <c r="F19" s="85">
        <f>D19/'Number of Observations ESS'!D17</f>
        <v>169.82143288746158</v>
      </c>
    </row>
    <row r="20" spans="1:10" x14ac:dyDescent="0.2">
      <c r="A20" s="83" t="s">
        <v>60</v>
      </c>
      <c r="B20" s="83">
        <f>SUMIF(Data!$G:$G, A20, Data!$Y:$Y)</f>
        <v>1228.0507859509305</v>
      </c>
      <c r="C20" s="83">
        <f>SUMIFS(Data!$Y:$Y, Data!$G:$G, A20, Data!$K:$K, "Vietnam")</f>
        <v>0</v>
      </c>
      <c r="D20" s="83">
        <f>SUMIFS(Data!$Y:$Y, Data!$G:$G, A20, Data!$K:$K, "Kenya")</f>
        <v>1228.0507859509305</v>
      </c>
      <c r="E20" s="84">
        <v>0</v>
      </c>
      <c r="F20" s="85">
        <f>D20/'Number of Observations ESS'!D18</f>
        <v>51.16878274795544</v>
      </c>
    </row>
    <row r="21" spans="1:10" x14ac:dyDescent="0.2">
      <c r="A21" s="83" t="s">
        <v>934</v>
      </c>
      <c r="B21" s="83">
        <f>SUMIF(Data!$G:$G, A21, Data!$Y:$Y)</f>
        <v>415526.77336915472</v>
      </c>
      <c r="C21" s="83">
        <f>SUMIFS(Data!$Y:$Y, Data!$G:$G, A21, Data!$K:$K, "Vietnam")</f>
        <v>0</v>
      </c>
      <c r="D21" s="83">
        <f>SUMIFS(Data!$Y:$Y, Data!$G:$G, A21, Data!$K:$K, "Kenya")</f>
        <v>415526.77336915472</v>
      </c>
      <c r="E21" s="84">
        <v>0</v>
      </c>
      <c r="F21" s="85">
        <f>D21/'Number of Observations ESS'!D19</f>
        <v>103881.69334228868</v>
      </c>
    </row>
    <row r="22" spans="1:10" x14ac:dyDescent="0.2">
      <c r="A22" s="83" t="s">
        <v>1687</v>
      </c>
      <c r="B22" s="83">
        <f>SUMIF(Data!$G:$G, A22, Data!$Y:$Y)</f>
        <v>368.89889379930031</v>
      </c>
      <c r="C22" s="83">
        <f>SUMIFS(Data!$Y:$Y, Data!$G:$G, A22, Data!$K:$K, "Vietnam")</f>
        <v>83.239542084280288</v>
      </c>
      <c r="D22" s="83">
        <f>SUMIFS(Data!$Y:$Y, Data!$G:$G, A22, Data!$K:$K, "Kenya")</f>
        <v>285.65935171501997</v>
      </c>
      <c r="E22" s="84">
        <f>C22/'Number of Observations ESS'!C20</f>
        <v>9.2488380093644764</v>
      </c>
      <c r="F22" s="85">
        <f>D22/'Number of Observations ESS'!D20</f>
        <v>8.4017456386770579</v>
      </c>
    </row>
    <row r="23" spans="1:10" x14ac:dyDescent="0.2">
      <c r="A23" s="83" t="s">
        <v>2909</v>
      </c>
      <c r="B23" s="83">
        <f>SUMIF(Data!$G:$G, A23, Data!$Y:$Y)</f>
        <v>2492.906152197047</v>
      </c>
      <c r="C23" s="83">
        <f>SUMIFS(Data!$Y:$Y, Data!$G:$G, A23, Data!$K:$K, "Vietnam")</f>
        <v>1946.9741277341523</v>
      </c>
      <c r="D23" s="83">
        <f>SUMIFS(Data!$Y:$Y, Data!$G:$G, A23, Data!$K:$K, "Kenya")</f>
        <v>545.93202446289411</v>
      </c>
      <c r="E23" s="84">
        <f>C23/'Number of Observations ESS'!C21</f>
        <v>324.49568795569206</v>
      </c>
      <c r="F23" s="85">
        <f>D23/'Number of Observations ESS'!D21</f>
        <v>77.990289208984876</v>
      </c>
    </row>
    <row r="24" spans="1:10" x14ac:dyDescent="0.2">
      <c r="A24" s="83" t="s">
        <v>2910</v>
      </c>
      <c r="B24" s="83">
        <f>SUMIF(Data!$G:$G, A24, Data!$Y:$Y)</f>
        <v>602.14349739926001</v>
      </c>
      <c r="C24" s="83">
        <f>SUMIFS(Data!$Y:$Y, Data!$G:$G, A24, Data!$K:$K, "Vietnam")</f>
        <v>0</v>
      </c>
      <c r="D24" s="83">
        <f>SUMIFS(Data!$Y:$Y, Data!$G:$G, A24, Data!$K:$K, "Kenya")</f>
        <v>602.14349739926001</v>
      </c>
      <c r="E24" s="84">
        <v>0</v>
      </c>
      <c r="F24" s="85">
        <f>D24/'Number of Observations ESS'!D22</f>
        <v>120.428699479852</v>
      </c>
    </row>
    <row r="25" spans="1:10" ht="13.5" thickBot="1" x14ac:dyDescent="0.25">
      <c r="A25" s="86" t="s">
        <v>215</v>
      </c>
      <c r="B25" s="86">
        <f>SUMIF(Data!$G:$G, A25, Data!$Y:$Y)</f>
        <v>3.6777637744609728</v>
      </c>
      <c r="C25" s="86">
        <f>SUMIFS(Data!$Y:$Y, Data!$G:$G, A25, Data!$K:$K, "Vietnam")</f>
        <v>0</v>
      </c>
      <c r="D25" s="86">
        <f>SUMIFS(Data!$Y:$Y, Data!$G:$G, A25, Data!$K:$K, "Kenya")</f>
        <v>3.6777637744609728</v>
      </c>
      <c r="E25" s="84">
        <v>0</v>
      </c>
      <c r="F25" s="88">
        <f>D25/'Number of Observations ESS'!D23</f>
        <v>1.8388818872304864</v>
      </c>
    </row>
    <row r="26" spans="1:10" s="82" customFormat="1" x14ac:dyDescent="0.2">
      <c r="A26" s="79" t="s">
        <v>2912</v>
      </c>
      <c r="B26" s="89"/>
      <c r="C26" s="89"/>
      <c r="D26" s="89"/>
      <c r="E26" s="90"/>
      <c r="F26" s="91"/>
      <c r="H26" s="78"/>
      <c r="I26" s="78"/>
      <c r="J26" s="78"/>
    </row>
    <row r="27" spans="1:10" x14ac:dyDescent="0.2">
      <c r="A27" s="83" t="s">
        <v>1779</v>
      </c>
      <c r="B27" s="83">
        <f>SUMIF(Data!$G:$G, A27, Data!$Y:$Y)</f>
        <v>2.7089866224380098E-2</v>
      </c>
      <c r="C27" s="83">
        <f>SUMIFS(Data!$Y:$Y, Data!$G:$G, A27, Data!$K:$K, "Vietnam")</f>
        <v>2.7089866224380098E-2</v>
      </c>
      <c r="D27" s="83">
        <f>SUMIFS(Data!$Y:$Y, Data!$G:$G, A27, Data!$K:$K, "Kenya")</f>
        <v>0</v>
      </c>
      <c r="E27" s="84">
        <f>C27/'Number of Observations ESS'!C25</f>
        <v>3.3862332780475123E-3</v>
      </c>
      <c r="F27" s="85" t="e">
        <f>D27/'Number of Observations ESS'!D25</f>
        <v>#DIV/0!</v>
      </c>
    </row>
    <row r="28" spans="1:10" x14ac:dyDescent="0.2">
      <c r="A28" s="83" t="s">
        <v>67</v>
      </c>
      <c r="B28" s="83">
        <f>SUMIF(Data!$G:$G, A28, Data!$Y:$Y)</f>
        <v>1.0747998237010759</v>
      </c>
      <c r="C28" s="83">
        <f>SUMIFS(Data!$Y:$Y, Data!$G:$G, A28, Data!$K:$K, "Vietnam")</f>
        <v>0</v>
      </c>
      <c r="D28" s="83">
        <f>SUMIFS(Data!$Y:$Y, Data!$G:$G, A28, Data!$K:$K, "Kenya")</f>
        <v>1.0747998237010759</v>
      </c>
      <c r="E28" s="84">
        <v>0</v>
      </c>
      <c r="F28" s="85">
        <f>D28/'Number of Observations ESS'!D26</f>
        <v>0.13434997796263448</v>
      </c>
    </row>
    <row r="29" spans="1:10" ht="13.5" thickBot="1" x14ac:dyDescent="0.25">
      <c r="A29" s="86" t="s">
        <v>2913</v>
      </c>
      <c r="B29" s="86">
        <f>SUMIF(Data!$G:$G, A29, Data!$Y:$Y)</f>
        <v>3884.1833230219627</v>
      </c>
      <c r="C29" s="86">
        <f>SUMIFS(Data!$Y:$Y, Data!$G:$G, A29, Data!$K:$K, "Vietnam")</f>
        <v>3578.3890692335544</v>
      </c>
      <c r="D29" s="86">
        <f>SUMIFS(Data!$Y:$Y, Data!$G:$G, A29, Data!$K:$K, "Kenya")</f>
        <v>305.79425378840824</v>
      </c>
      <c r="E29" s="87">
        <f>C29/'Number of Observations ESS'!C27</f>
        <v>596.39817820559244</v>
      </c>
      <c r="F29" s="88">
        <f>D29/'Number of Observations ESS'!D27</f>
        <v>152.89712689420412</v>
      </c>
    </row>
    <row r="30" spans="1:10" s="82" customFormat="1" x14ac:dyDescent="0.2">
      <c r="A30" s="79" t="s">
        <v>2914</v>
      </c>
      <c r="B30" s="89"/>
      <c r="C30" s="89"/>
      <c r="D30" s="89"/>
      <c r="E30" s="90"/>
      <c r="F30" s="91"/>
      <c r="H30" s="78"/>
      <c r="I30" s="78"/>
      <c r="J30" s="78"/>
    </row>
    <row r="31" spans="1:10" x14ac:dyDescent="0.2">
      <c r="A31" s="83" t="s">
        <v>14</v>
      </c>
      <c r="B31" s="83">
        <f>SUMIF(Data!$G:$G, A31, Data!$Y:$Y)</f>
        <v>0</v>
      </c>
      <c r="C31" s="83">
        <f>SUMIFS(Data!$Y:$Y, Data!$G:$G, A31, Data!$K:$K, "Vietnam")</f>
        <v>0</v>
      </c>
      <c r="D31" s="83">
        <f>SUMIFS(Data!$Y:$Y, Data!$G:$G, A31, Data!$K:$K, "Kenya")</f>
        <v>0</v>
      </c>
      <c r="E31" s="84" t="e">
        <f>C31/'Number of Observations ESS'!C29</f>
        <v>#DIV/0!</v>
      </c>
      <c r="F31" s="85" t="e">
        <f>D31/'Number of Observations ESS'!D29</f>
        <v>#DIV/0!</v>
      </c>
    </row>
    <row r="32" spans="1:10" x14ac:dyDescent="0.2">
      <c r="A32" s="83" t="s">
        <v>2903</v>
      </c>
      <c r="B32" s="83">
        <f>SUMIF(Data!$G:$G, A32, Data!$Y:$Y)</f>
        <v>0</v>
      </c>
      <c r="C32" s="83">
        <f>SUMIFS(Data!$Y:$Y, Data!$G:$G, A32, Data!$K:$K, "Vietnam")</f>
        <v>0</v>
      </c>
      <c r="D32" s="83">
        <f>SUMIFS(Data!$Y:$Y, Data!$G:$G, A32, Data!$K:$K, "Kenya")</f>
        <v>0</v>
      </c>
      <c r="E32" s="84" t="e">
        <f>C32/'Number of Observations ESS'!C30</f>
        <v>#DIV/0!</v>
      </c>
      <c r="F32" s="85" t="e">
        <f>D32/'Number of Observations ESS'!D30</f>
        <v>#DIV/0!</v>
      </c>
    </row>
    <row r="33" spans="1:10" x14ac:dyDescent="0.2">
      <c r="A33" s="83" t="s">
        <v>2904</v>
      </c>
      <c r="B33" s="83">
        <f>SUMIF(Data!$G:$G, A33, Data!$Y:$Y)</f>
        <v>0</v>
      </c>
      <c r="C33" s="83">
        <f>SUMIFS(Data!$Y:$Y, Data!$G:$G, A33, Data!$K:$K, "Vietnam")</f>
        <v>0</v>
      </c>
      <c r="D33" s="83">
        <f>SUMIFS(Data!$Y:$Y, Data!$G:$G, A33, Data!$K:$K, "Kenya")</f>
        <v>0</v>
      </c>
      <c r="E33" s="84" t="e">
        <f>C33/'Number of Observations ESS'!C31</f>
        <v>#DIV/0!</v>
      </c>
      <c r="F33" s="85" t="e">
        <f>D33/'Number of Observations ESS'!D31</f>
        <v>#DIV/0!</v>
      </c>
    </row>
    <row r="34" spans="1:10" x14ac:dyDescent="0.2">
      <c r="A34" s="83" t="s">
        <v>141</v>
      </c>
      <c r="B34" s="83">
        <f>SUMIF(Data!$G:$G, A34, Data!$Y:$Y)</f>
        <v>0</v>
      </c>
      <c r="C34" s="83">
        <f>SUMIFS(Data!$Y:$Y, Data!$G:$G, A34, Data!$K:$K, "Vietnam")</f>
        <v>0</v>
      </c>
      <c r="D34" s="83">
        <f>SUMIFS(Data!$Y:$Y, Data!$G:$G, A34, Data!$K:$K, "Kenya")</f>
        <v>0</v>
      </c>
      <c r="E34" s="84" t="e">
        <f>C34/'Number of Observations ESS'!C32</f>
        <v>#DIV/0!</v>
      </c>
      <c r="F34" s="85" t="e">
        <f>D34/'Number of Observations ESS'!D32</f>
        <v>#DIV/0!</v>
      </c>
    </row>
    <row r="35" spans="1:10" s="82" customFormat="1" ht="13.5" thickBot="1" x14ac:dyDescent="0.25">
      <c r="A35" s="86" t="s">
        <v>2160</v>
      </c>
      <c r="B35" s="86">
        <f>SUMIF(Data!$G:$G, A35, Data!$Y:$Y)</f>
        <v>241.92821224414806</v>
      </c>
      <c r="C35" s="86">
        <f>SUMIFS(Data!$Y:$Y, Data!$G:$G, A35, Data!$K:$K, "Vietnam")</f>
        <v>0.24538750207293425</v>
      </c>
      <c r="D35" s="86">
        <f>SUMIFS(Data!$Y:$Y, Data!$G:$G, A35, Data!$K:$K, "Kenya")</f>
        <v>241.68282474207513</v>
      </c>
      <c r="E35" s="87">
        <f>C35/'Number of Observations ESS'!C33</f>
        <v>0.12269375103646712</v>
      </c>
      <c r="F35" s="88">
        <f>D35/'Number of Observations ESS'!D33</f>
        <v>26.853647193563901</v>
      </c>
      <c r="H35" s="78"/>
      <c r="I35" s="78"/>
      <c r="J35" s="78"/>
    </row>
    <row r="36" spans="1:10" x14ac:dyDescent="0.2">
      <c r="A36" s="79" t="s">
        <v>2915</v>
      </c>
      <c r="B36" s="89"/>
      <c r="C36" s="89"/>
      <c r="D36" s="89"/>
      <c r="E36" s="90"/>
      <c r="F36" s="91"/>
    </row>
    <row r="37" spans="1:10" x14ac:dyDescent="0.2">
      <c r="A37" s="83" t="s">
        <v>2916</v>
      </c>
      <c r="B37" s="83">
        <f>SUMIF(Data!$G:$G, A37, Data!$Y:$Y)</f>
        <v>0</v>
      </c>
      <c r="C37" s="83">
        <f>SUMIFS(Data!$Y:$Y, Data!$G:$G, A37, Data!$K:$K, "Vietnam")</f>
        <v>0</v>
      </c>
      <c r="D37" s="83">
        <f>SUMIFS(Data!$Y:$Y, Data!$G:$G, A37, Data!$K:$K, "Kenya")</f>
        <v>0</v>
      </c>
      <c r="E37" s="84" t="e">
        <f>C37/'Number of Observations ESS'!C35</f>
        <v>#DIV/0!</v>
      </c>
      <c r="F37" s="85" t="e">
        <f>D37/'Number of Observations ESS'!D35</f>
        <v>#DIV/0!</v>
      </c>
    </row>
    <row r="38" spans="1:10" x14ac:dyDescent="0.2">
      <c r="A38" s="83" t="s">
        <v>2905</v>
      </c>
      <c r="B38" s="83">
        <f>SUMIF(Data!$G:$G, A38, Data!$Y:$Y)</f>
        <v>0</v>
      </c>
      <c r="C38" s="83">
        <f>SUMIFS(Data!$Y:$Y, Data!$G:$G, A38, Data!$K:$K, "Vietnam")</f>
        <v>0</v>
      </c>
      <c r="D38" s="83">
        <f>SUMIFS(Data!$Y:$Y, Data!$G:$G, A38, Data!$K:$K, "Kenya")</f>
        <v>0</v>
      </c>
      <c r="E38" s="84" t="e">
        <f>C38/'Number of Observations ESS'!C36</f>
        <v>#DIV/0!</v>
      </c>
      <c r="F38" s="85" t="e">
        <f>D38/'Number of Observations ESS'!D36</f>
        <v>#DIV/0!</v>
      </c>
    </row>
    <row r="39" spans="1:10" x14ac:dyDescent="0.2">
      <c r="A39" s="83" t="s">
        <v>185</v>
      </c>
      <c r="B39" s="83">
        <f>SUMIF(Data!$G:$G, A39, Data!$Y:$Y)</f>
        <v>0</v>
      </c>
      <c r="C39" s="83">
        <f>SUMIFS(Data!$Y:$Y, Data!$G:$G, A39, Data!$K:$K, "Vietnam")</f>
        <v>0</v>
      </c>
      <c r="D39" s="83">
        <f>SUMIFS(Data!$Y:$Y, Data!$G:$G, A39, Data!$K:$K, "Kenya")</f>
        <v>0</v>
      </c>
      <c r="E39" s="84" t="e">
        <f>C39/'Number of Observations ESS'!C37</f>
        <v>#DIV/0!</v>
      </c>
      <c r="F39" s="85" t="e">
        <f>D39/'Number of Observations ESS'!D37</f>
        <v>#DIV/0!</v>
      </c>
    </row>
    <row r="40" spans="1:10" s="82" customFormat="1" ht="13.5" thickBot="1" x14ac:dyDescent="0.25">
      <c r="A40" s="86" t="s">
        <v>2917</v>
      </c>
      <c r="B40" s="86">
        <f>SUMIF(Data!$G:$G, A40, Data!$Y:$Y)</f>
        <v>0</v>
      </c>
      <c r="C40" s="86">
        <f>SUMIFS(Data!$Y:$Y, Data!$G:$G, A40, Data!$K:$K, "Vietnam")</f>
        <v>0</v>
      </c>
      <c r="D40" s="86">
        <f>SUMIFS(Data!$Y:$Y, Data!$G:$G, A40, Data!$K:$K, "Kenya")</f>
        <v>0</v>
      </c>
      <c r="E40" s="87">
        <f>C40/'Number of Observations ESS'!C38</f>
        <v>0</v>
      </c>
      <c r="F40" s="88" t="e">
        <f>D40/'Number of Observations ESS'!D38</f>
        <v>#DIV/0!</v>
      </c>
      <c r="H40" s="78"/>
      <c r="I40" s="78"/>
      <c r="J40" s="78"/>
    </row>
    <row r="41" spans="1:10" x14ac:dyDescent="0.2">
      <c r="A41" s="79" t="s">
        <v>2918</v>
      </c>
      <c r="B41" s="89"/>
      <c r="C41" s="89"/>
      <c r="D41" s="89"/>
      <c r="E41" s="90"/>
      <c r="F41" s="91"/>
    </row>
    <row r="42" spans="1:10" x14ac:dyDescent="0.2">
      <c r="A42" s="83" t="s">
        <v>63</v>
      </c>
      <c r="B42" s="83">
        <f>SUMIF(Data!$G:$G, A42, Data!$Y:$Y)</f>
        <v>0</v>
      </c>
      <c r="C42" s="83">
        <f>SUMIFS(Data!$Y:$Y, Data!$G:$G, A42, Data!$K:$K, "Vietnam")</f>
        <v>0</v>
      </c>
      <c r="D42" s="83">
        <f>SUMIFS(Data!$Y:$Y, Data!$G:$G, A42, Data!$K:$K, "Kenya")</f>
        <v>0</v>
      </c>
      <c r="E42" s="84" t="e">
        <f>C42/'Number of Observations ESS'!C40</f>
        <v>#DIV/0!</v>
      </c>
      <c r="F42" s="85" t="e">
        <f>D42/'Number of Observations ESS'!D40</f>
        <v>#DIV/0!</v>
      </c>
    </row>
    <row r="43" spans="1:10" x14ac:dyDescent="0.2">
      <c r="A43" s="83" t="s">
        <v>2919</v>
      </c>
      <c r="B43" s="83">
        <f>SUMIF(Data!$G:$G, A43, Data!$Y:$Y)</f>
        <v>0</v>
      </c>
      <c r="C43" s="83">
        <f>SUMIFS(Data!$Y:$Y, Data!$G:$G, A43, Data!$K:$K, "Vietnam")</f>
        <v>0</v>
      </c>
      <c r="D43" s="83">
        <f>SUMIFS(Data!$Y:$Y, Data!$G:$G, A43, Data!$K:$K, "Kenya")</f>
        <v>0</v>
      </c>
      <c r="E43" s="84" t="e">
        <f>C43/'Number of Observations ESS'!C41</f>
        <v>#DIV/0!</v>
      </c>
      <c r="F43" s="85" t="e">
        <f>D43/'Number of Observations ESS'!D41</f>
        <v>#DIV/0!</v>
      </c>
    </row>
    <row r="44" spans="1:10" s="82" customFormat="1" ht="13.5" thickBot="1" x14ac:dyDescent="0.25">
      <c r="A44" s="83" t="s">
        <v>2906</v>
      </c>
      <c r="B44" s="83">
        <f>SUMIF(Data!$G:$G, A44, Data!$Y:$Y)</f>
        <v>0</v>
      </c>
      <c r="C44" s="83">
        <f>SUMIFS(Data!$Y:$Y, Data!$G:$G, A44, Data!$K:$K, "Vietnam")</f>
        <v>0</v>
      </c>
      <c r="D44" s="83">
        <f>SUMIFS(Data!$Y:$Y, Data!$G:$G, A44, Data!$K:$K, "Kenya")</f>
        <v>0</v>
      </c>
      <c r="E44" s="84" t="e">
        <f>C44/'Number of Observations ESS'!C42</f>
        <v>#DIV/0!</v>
      </c>
      <c r="F44" s="85" t="e">
        <f>D44/'Number of Observations ESS'!D42</f>
        <v>#DIV/0!</v>
      </c>
      <c r="H44" s="78"/>
      <c r="I44" s="78"/>
      <c r="J44" s="78"/>
    </row>
    <row r="45" spans="1:10" x14ac:dyDescent="0.2">
      <c r="A45" s="79" t="s">
        <v>1433</v>
      </c>
      <c r="B45" s="89"/>
      <c r="C45" s="89"/>
      <c r="D45" s="89"/>
      <c r="E45" s="90"/>
      <c r="F45" s="91"/>
    </row>
    <row r="46" spans="1:10" x14ac:dyDescent="0.2">
      <c r="A46" s="83" t="s">
        <v>133</v>
      </c>
      <c r="B46" s="83">
        <f>SUMIF(Data!$G:$G, A46, Data!$Y:$Y)</f>
        <v>660663.31330042554</v>
      </c>
      <c r="C46" s="83">
        <f>SUMIFS(Data!$Y:$Y, Data!$G:$G, A46, Data!$K:$K, "Vietnam")</f>
        <v>148570.75955608702</v>
      </c>
      <c r="D46" s="83">
        <f>SUMIFS(Data!$Y:$Y, Data!$G:$G, A46, Data!$K:$K, "Kenya")</f>
        <v>512092.55374433834</v>
      </c>
      <c r="E46" s="84">
        <f>C46/'Number of Observations ESS'!C44</f>
        <v>5502.6207242995197</v>
      </c>
      <c r="F46" s="85">
        <f>D46/'Number of Observations ESS'!D44</f>
        <v>10241.851074886767</v>
      </c>
    </row>
    <row r="47" spans="1:10" x14ac:dyDescent="0.2">
      <c r="A47" s="83" t="s">
        <v>2920</v>
      </c>
      <c r="B47" s="83">
        <f>SUMIF(Data!$G:$G, A47, Data!$Y:$Y)</f>
        <v>4667.0368786690487</v>
      </c>
      <c r="C47" s="83">
        <f>SUMIFS(Data!$Y:$Y, Data!$G:$G, A47, Data!$K:$K, "Vietnam")</f>
        <v>3307.9275881215676</v>
      </c>
      <c r="D47" s="83">
        <f>SUMIFS(Data!$Y:$Y, Data!$G:$G, A47, Data!$K:$K, "Kenya")</f>
        <v>1359.1092905474814</v>
      </c>
      <c r="E47" s="84">
        <f>C47/'Number of Observations ESS'!C45</f>
        <v>551.32126468692798</v>
      </c>
      <c r="F47" s="85">
        <f>D47/'Number of Observations ESS'!D45</f>
        <v>679.55464527374068</v>
      </c>
    </row>
    <row r="48" spans="1:10" x14ac:dyDescent="0.2">
      <c r="A48" s="83" t="s">
        <v>20</v>
      </c>
      <c r="B48" s="83">
        <f>SUMIF(Data!$G:$G, A48, Data!$Y:$Y)</f>
        <v>0</v>
      </c>
      <c r="C48" s="83">
        <f>SUMIFS(Data!$Y:$Y, Data!$G:$G, A48, Data!$K:$K, "Vietnam")</f>
        <v>0</v>
      </c>
      <c r="D48" s="83">
        <f>SUMIFS(Data!$Y:$Y, Data!$G:$G, A48, Data!$K:$K, "Kenya")</f>
        <v>0</v>
      </c>
      <c r="E48" s="84" t="e">
        <f>C48/'Number of Observations ESS'!C46</f>
        <v>#DIV/0!</v>
      </c>
      <c r="F48" s="85">
        <f>D48/'Number of Observations ESS'!D46</f>
        <v>0</v>
      </c>
    </row>
    <row r="49" spans="1:10" ht="13.5" thickBot="1" x14ac:dyDescent="0.25">
      <c r="A49" s="86" t="s">
        <v>64</v>
      </c>
      <c r="B49" s="86">
        <f>SUMIF(Data!$G:$G, A49, Data!$Y:$Y)</f>
        <v>163.92156009499334</v>
      </c>
      <c r="C49" s="86">
        <f>SUMIFS(Data!$Y:$Y, Data!$G:$G, A49, Data!$K:$K, "Vietnam")</f>
        <v>22.412847377690387</v>
      </c>
      <c r="D49" s="86">
        <f>SUMIFS(Data!$Y:$Y, Data!$G:$G, A49, Data!$K:$K, "Kenya")</f>
        <v>141.50871271730296</v>
      </c>
      <c r="E49" s="87">
        <f>C49/'Number of Observations ESS'!C47</f>
        <v>3.7354745629483976</v>
      </c>
      <c r="F49" s="88">
        <f>D49/'Number of Observations ESS'!D47</f>
        <v>70.754356358651478</v>
      </c>
    </row>
    <row r="50" spans="1:10" s="82" customFormat="1" x14ac:dyDescent="0.2">
      <c r="A50" s="79" t="s">
        <v>2921</v>
      </c>
      <c r="B50" s="89"/>
      <c r="C50" s="89"/>
      <c r="D50" s="89"/>
      <c r="E50" s="90"/>
      <c r="F50" s="91"/>
      <c r="H50" s="78"/>
      <c r="I50" s="78"/>
      <c r="J50" s="78"/>
    </row>
    <row r="51" spans="1:10" x14ac:dyDescent="0.2">
      <c r="A51" s="83" t="s">
        <v>156</v>
      </c>
      <c r="B51" s="83">
        <f>SUMIF(Data!$G:$G, A51, Data!$Y:$Y)</f>
        <v>4.6011656236226131</v>
      </c>
      <c r="C51" s="83">
        <f>SUMIFS(Data!$Y:$Y, Data!$G:$G, A51, Data!$K:$K, "Vietnam")</f>
        <v>4.6011656236226131</v>
      </c>
      <c r="D51" s="83">
        <f>SUMIFS(Data!$Y:$Y, Data!$G:$G, A51, Data!$K:$K, "Kenya")</f>
        <v>0</v>
      </c>
      <c r="E51" s="84">
        <f>C51/'Number of Observations ESS'!C49</f>
        <v>4.6011656236226131</v>
      </c>
      <c r="F51" s="85" t="e">
        <f>D51/'Number of Observations ESS'!D49</f>
        <v>#DIV/0!</v>
      </c>
    </row>
    <row r="52" spans="1:10" x14ac:dyDescent="0.2">
      <c r="A52" s="83" t="s">
        <v>28</v>
      </c>
      <c r="B52" s="83">
        <f>SUMIF(Data!$G:$G, A52, Data!$Y:$Y)</f>
        <v>4069.8181875952796</v>
      </c>
      <c r="C52" s="83">
        <f>SUMIFS(Data!$Y:$Y, Data!$G:$G, A52, Data!$K:$K, "Vietnam")</f>
        <v>0</v>
      </c>
      <c r="D52" s="83">
        <f>SUMIFS(Data!$Y:$Y, Data!$G:$G, A52, Data!$K:$K, "Kenya")</f>
        <v>4069.8181875952796</v>
      </c>
      <c r="E52" s="84">
        <f>C52/'Number of Observations ESS'!C50</f>
        <v>0</v>
      </c>
      <c r="F52" s="85">
        <f>D52/'Number of Observations ESS'!D50</f>
        <v>406.98181875952798</v>
      </c>
    </row>
    <row r="53" spans="1:10" x14ac:dyDescent="0.2">
      <c r="A53" s="83" t="s">
        <v>2922</v>
      </c>
      <c r="B53" s="83">
        <f>SUMIF(Data!$G:$G, A53, Data!$Y:$Y)</f>
        <v>0</v>
      </c>
      <c r="C53" s="83">
        <f>SUMIFS(Data!$Y:$Y, Data!$G:$G, A53, Data!$K:$K, "Vietnam")</f>
        <v>0</v>
      </c>
      <c r="D53" s="83">
        <f>SUMIFS(Data!$Y:$Y, Data!$G:$G, A53, Data!$K:$K, "Kenya")</f>
        <v>0</v>
      </c>
      <c r="E53" s="84" t="e">
        <f>C53/'Number of Observations ESS'!C51</f>
        <v>#DIV/0!</v>
      </c>
      <c r="F53" s="85" t="e">
        <f>D53/'Number of Observations ESS'!D51</f>
        <v>#DIV/0!</v>
      </c>
    </row>
    <row r="54" spans="1:10" ht="13.5" thickBot="1" x14ac:dyDescent="0.25">
      <c r="A54" s="83" t="s">
        <v>2923</v>
      </c>
      <c r="B54" s="83">
        <f>SUMIF(Data!$G:$G, A54, Data!$Y:$Y)</f>
        <v>4171.2607177641694</v>
      </c>
      <c r="C54" s="83">
        <f>SUMIFS(Data!$Y:$Y, Data!$G:$G, A54, Data!$K:$K, "Vietnam")</f>
        <v>4171.2607177641694</v>
      </c>
      <c r="D54" s="83">
        <f>SUMIFS(Data!$Y:$Y, Data!$G:$G, A54, Data!$K:$K, "Kenya")</f>
        <v>0</v>
      </c>
      <c r="E54" s="84">
        <f>C54/'Number of Observations ESS'!C52</f>
        <v>2085.6303588820847</v>
      </c>
      <c r="F54" s="85" t="e">
        <f>D54/'Number of Observations ESS'!D52</f>
        <v>#DIV/0!</v>
      </c>
    </row>
    <row r="55" spans="1:10" s="82" customFormat="1" x14ac:dyDescent="0.2">
      <c r="A55" s="79" t="s">
        <v>2924</v>
      </c>
      <c r="B55" s="89"/>
      <c r="C55" s="89"/>
      <c r="D55" s="89"/>
      <c r="E55" s="90"/>
      <c r="F55" s="91"/>
      <c r="H55" s="78"/>
      <c r="I55" s="78"/>
      <c r="J55" s="78"/>
    </row>
    <row r="56" spans="1:10" x14ac:dyDescent="0.2">
      <c r="A56" s="83" t="s">
        <v>18</v>
      </c>
      <c r="B56" s="83">
        <f>SUMIF(Data!$G:$G, A56, Data!$Y:$Y)</f>
        <v>523.95402968553935</v>
      </c>
      <c r="C56" s="83">
        <f>SUMIFS(Data!$Y:$Y, Data!$G:$G, A56, Data!$K:$K, "Vietnam")</f>
        <v>0</v>
      </c>
      <c r="D56" s="83">
        <f>SUMIFS(Data!$Y:$Y, Data!$G:$G, A56, Data!$K:$K, "Kenya")</f>
        <v>523.95402968553935</v>
      </c>
      <c r="E56" s="84" t="e">
        <f>C56/'Number of Observations ESS'!C54</f>
        <v>#DIV/0!</v>
      </c>
      <c r="F56" s="85">
        <f>D56/'Number of Observations ESS'!D54</f>
        <v>523.95402968553935</v>
      </c>
    </row>
    <row r="57" spans="1:10" x14ac:dyDescent="0.2">
      <c r="A57" s="83" t="s">
        <v>17</v>
      </c>
      <c r="B57" s="83">
        <f>SUMIF(Data!$G:$G, A57, Data!$Y:$Y)</f>
        <v>0</v>
      </c>
      <c r="C57" s="83">
        <f>SUMIFS(Data!$Y:$Y, Data!$G:$G, A57, Data!$K:$K, "Vietnam")</f>
        <v>0</v>
      </c>
      <c r="D57" s="83">
        <f>SUMIFS(Data!$Y:$Y, Data!$G:$G, A57, Data!$K:$K, "Kenya")</f>
        <v>0</v>
      </c>
      <c r="E57" s="84" t="e">
        <f>C57/'Number of Observations ESS'!C55</f>
        <v>#DIV/0!</v>
      </c>
      <c r="F57" s="85" t="e">
        <f>D57/'Number of Observations ESS'!D55</f>
        <v>#DIV/0!</v>
      </c>
    </row>
    <row r="58" spans="1:10" x14ac:dyDescent="0.2">
      <c r="A58" s="83" t="s">
        <v>220</v>
      </c>
      <c r="B58" s="83">
        <f>SUMIF(Data!$G:$G, A58, Data!$Y:$Y)</f>
        <v>0</v>
      </c>
      <c r="C58" s="83">
        <f>SUMIFS(Data!$Y:$Y, Data!$G:$G, A58, Data!$K:$K, "Vietnam")</f>
        <v>0</v>
      </c>
      <c r="D58" s="83">
        <f>SUMIFS(Data!$Y:$Y, Data!$G:$G, A58, Data!$K:$K, "Kenya")</f>
        <v>0</v>
      </c>
      <c r="E58" s="84" t="e">
        <f>C58/'Number of Observations ESS'!C56</f>
        <v>#DIV/0!</v>
      </c>
      <c r="F58" s="85" t="e">
        <f>D58/'Number of Observations ESS'!D56</f>
        <v>#DIV/0!</v>
      </c>
    </row>
    <row r="59" spans="1:10" ht="13.5" thickBot="1" x14ac:dyDescent="0.25">
      <c r="A59" s="86" t="s">
        <v>2925</v>
      </c>
      <c r="B59" s="86">
        <f>SUMIF(Data!$G:$G, A59, Data!$Y:$Y)</f>
        <v>0</v>
      </c>
      <c r="C59" s="86">
        <f>SUMIFS(Data!$Y:$Y, Data!$G:$G, A59, Data!$K:$K, "Vietnam")</f>
        <v>0</v>
      </c>
      <c r="D59" s="86">
        <f>SUMIFS(Data!$Y:$Y, Data!$G:$G, A59, Data!$K:$K, "Kenya")</f>
        <v>0</v>
      </c>
      <c r="E59" s="87" t="e">
        <f>C59/'Number of Observations ESS'!C57</f>
        <v>#DIV/0!</v>
      </c>
      <c r="F59" s="88" t="e">
        <f>D59/'Number of Observations ESS'!D57</f>
        <v>#DIV/0!</v>
      </c>
    </row>
    <row r="60" spans="1:10" s="82" customFormat="1" x14ac:dyDescent="0.2">
      <c r="A60" s="79" t="s">
        <v>2926</v>
      </c>
      <c r="B60" s="89"/>
      <c r="C60" s="89"/>
      <c r="D60" s="89"/>
      <c r="E60" s="90"/>
      <c r="F60" s="91"/>
      <c r="H60" s="78"/>
      <c r="I60" s="78"/>
      <c r="J60" s="78"/>
    </row>
    <row r="61" spans="1:10" x14ac:dyDescent="0.2">
      <c r="A61" s="83" t="s">
        <v>112</v>
      </c>
      <c r="B61" s="83">
        <f>SUMIF(Data!$G:$G, A61, Data!$Y:$Y)</f>
        <v>3386.8660264594805</v>
      </c>
      <c r="C61" s="83">
        <f>SUMIFS(Data!$Y:$Y, Data!$G:$G, A61, Data!$K:$K, "Vietnam")</f>
        <v>3386.8660264594805</v>
      </c>
      <c r="D61" s="83">
        <f>SUMIFS(Data!$Y:$Y, Data!$G:$G, A61, Data!$K:$K, "Kenya")</f>
        <v>0</v>
      </c>
      <c r="E61" s="84">
        <f>C61/'Number of Observations ESS'!C59</f>
        <v>1693.4330132297403</v>
      </c>
      <c r="F61" s="85" t="e">
        <f>D61/'Number of Observations ESS'!D59</f>
        <v>#DIV/0!</v>
      </c>
    </row>
    <row r="62" spans="1:10" x14ac:dyDescent="0.2">
      <c r="A62" s="83" t="s">
        <v>65</v>
      </c>
      <c r="B62" s="83">
        <f>SUMIF(Data!$G:$G, A62, Data!$Y:$Y)</f>
        <v>0</v>
      </c>
      <c r="C62" s="83">
        <f>SUMIFS(Data!$Y:$Y, Data!$G:$G, A62, Data!$K:$K, "Vietnam")</f>
        <v>0</v>
      </c>
      <c r="D62" s="83">
        <f>SUMIFS(Data!$Y:$Y, Data!$G:$G, A62, Data!$K:$K, "Kenya")</f>
        <v>0</v>
      </c>
      <c r="E62" s="84" t="e">
        <f>C62/'Number of Observations ESS'!C60</f>
        <v>#DIV/0!</v>
      </c>
      <c r="F62" s="85" t="e">
        <f>D62/'Number of Observations ESS'!D60</f>
        <v>#DIV/0!</v>
      </c>
    </row>
    <row r="63" spans="1:10" x14ac:dyDescent="0.2">
      <c r="A63" s="83" t="s">
        <v>2927</v>
      </c>
      <c r="B63" s="83">
        <f>SUMIF(Data!$G:$G, A63, Data!$Y:$Y)</f>
        <v>0</v>
      </c>
      <c r="C63" s="83">
        <f>SUMIFS(Data!$Y:$Y, Data!$G:$G, A63, Data!$K:$K, "Vietnam")</f>
        <v>0</v>
      </c>
      <c r="D63" s="83">
        <f>SUMIFS(Data!$Y:$Y, Data!$G:$G, A63, Data!$K:$K, "Kenya")</f>
        <v>0</v>
      </c>
      <c r="E63" s="84" t="e">
        <f>C63/'Number of Observations ESS'!C61</f>
        <v>#DIV/0!</v>
      </c>
      <c r="F63" s="85" t="e">
        <f>D63/'Number of Observations ESS'!D61</f>
        <v>#DIV/0!</v>
      </c>
    </row>
    <row r="64" spans="1:10" ht="13.5" thickBot="1" x14ac:dyDescent="0.25">
      <c r="A64" s="86" t="s">
        <v>2928</v>
      </c>
      <c r="B64" s="86">
        <f>SUMIF(Data!$G:$G, A64, Data!$Y:$Y)</f>
        <v>911.50414784382838</v>
      </c>
      <c r="C64" s="86">
        <f>SUMIFS(Data!$Y:$Y, Data!$G:$G, A64, Data!$K:$K, "Vietnam")</f>
        <v>911.50414784382838</v>
      </c>
      <c r="D64" s="86">
        <f>SUMIFS(Data!$Y:$Y, Data!$G:$G, A64, Data!$K:$K, "Kenya")</f>
        <v>0</v>
      </c>
      <c r="E64" s="87">
        <f>C64/'Number of Observations ESS'!C62</f>
        <v>151.91735797397141</v>
      </c>
      <c r="F64" s="88" t="e">
        <f>D64/'Number of Observations ESS'!D62</f>
        <v>#DIV/0!</v>
      </c>
    </row>
    <row r="65" spans="1:10" s="82" customFormat="1" x14ac:dyDescent="0.2">
      <c r="A65" s="79" t="s">
        <v>146</v>
      </c>
      <c r="B65" s="89"/>
      <c r="C65" s="89"/>
      <c r="D65" s="89"/>
      <c r="E65" s="90"/>
      <c r="F65" s="91"/>
      <c r="H65" s="78"/>
      <c r="I65" s="78"/>
      <c r="J65" s="78"/>
    </row>
    <row r="66" spans="1:10" ht="13.5" thickBot="1" x14ac:dyDescent="0.25">
      <c r="A66" s="86" t="s">
        <v>146</v>
      </c>
      <c r="B66" s="86">
        <f>SUMIF(Data!$G:$G, A66, Data!$Y:$Y)</f>
        <v>46257.423222494719</v>
      </c>
      <c r="C66" s="86">
        <f>SUMIFS(Data!$Y:$Y, Data!$G:$G, A66, Data!$K:$K, "Vietnam")</f>
        <v>31464.99338651741</v>
      </c>
      <c r="D66" s="86">
        <f>SUMIFS(Data!$Y:$Y, Data!$G:$G, A66, Data!$K:$K, "Kenya")</f>
        <v>14792.429835977307</v>
      </c>
      <c r="E66" s="87">
        <f>C66/'Number of Observations ESS'!C64</f>
        <v>3933.1241733146762</v>
      </c>
      <c r="F66" s="88">
        <f>D66/'Number of Observations ESS'!D64</f>
        <v>477.17515599926799</v>
      </c>
    </row>
    <row r="67" spans="1:10" s="82" customFormat="1" x14ac:dyDescent="0.2">
      <c r="A67" s="79" t="s">
        <v>2929</v>
      </c>
      <c r="B67" s="89"/>
      <c r="C67" s="89"/>
      <c r="D67" s="89"/>
      <c r="E67" s="90"/>
      <c r="F67" s="91"/>
      <c r="H67" s="78"/>
      <c r="I67" s="78"/>
      <c r="J67" s="78"/>
    </row>
    <row r="68" spans="1:10" x14ac:dyDescent="0.2">
      <c r="A68" s="83" t="s">
        <v>169</v>
      </c>
      <c r="B68" s="83">
        <f>SUMIF(Data!$G:$G, A68, Data!$Y:$Y)</f>
        <v>48.458210002129682</v>
      </c>
      <c r="C68" s="83">
        <f>SUMIFS(Data!$Y:$Y, Data!$G:$G, A68, Data!$K:$K, "Vietnam")</f>
        <v>0</v>
      </c>
      <c r="D68" s="83">
        <f>SUMIFS(Data!$Y:$Y, Data!$G:$G, A68, Data!$K:$K, "Kenya")</f>
        <v>48.458210002129682</v>
      </c>
      <c r="E68" s="84" t="e">
        <f>C68/'Number of Observations ESS'!C66</f>
        <v>#DIV/0!</v>
      </c>
      <c r="F68" s="85">
        <f>D68/'Number of Observations ESS'!D66</f>
        <v>24.229105001064841</v>
      </c>
    </row>
    <row r="69" spans="1:10" x14ac:dyDescent="0.2">
      <c r="A69" s="83" t="s">
        <v>219</v>
      </c>
      <c r="B69" s="83">
        <f>SUMIF(Data!$G:$G, A69, Data!$Y:$Y)</f>
        <v>0</v>
      </c>
      <c r="C69" s="83">
        <f>SUMIFS(Data!$Y:$Y, Data!$G:$G, A69, Data!$K:$K, "Vietnam")</f>
        <v>0</v>
      </c>
      <c r="D69" s="83">
        <f>SUMIFS(Data!$Y:$Y, Data!$G:$G, A69, Data!$K:$K, "Kenya")</f>
        <v>0</v>
      </c>
      <c r="E69" s="84" t="e">
        <f>C69/'Number of Observations ESS'!C67</f>
        <v>#DIV/0!</v>
      </c>
      <c r="F69" s="85" t="e">
        <f>D69/'Number of Observations ESS'!D67</f>
        <v>#DIV/0!</v>
      </c>
    </row>
    <row r="70" spans="1:10" x14ac:dyDescent="0.2">
      <c r="A70" s="83" t="s">
        <v>46</v>
      </c>
      <c r="B70" s="83">
        <f>SUMIF(Data!$G:$G, A70, Data!$Y:$Y)</f>
        <v>432.73928461675911</v>
      </c>
      <c r="C70" s="83">
        <f>SUMIFS(Data!$Y:$Y, Data!$G:$G, A70, Data!$K:$K, "Vietnam")</f>
        <v>352.15119098014816</v>
      </c>
      <c r="D70" s="83">
        <f>SUMIFS(Data!$Y:$Y, Data!$G:$G, A70, Data!$K:$K, "Kenya")</f>
        <v>80.588093636610949</v>
      </c>
      <c r="E70" s="84">
        <f>C70/'Number of Observations ESS'!C68</f>
        <v>50.307312997164026</v>
      </c>
      <c r="F70" s="85">
        <f>D70/'Number of Observations ESS'!D68</f>
        <v>40.294046818305475</v>
      </c>
    </row>
    <row r="71" spans="1:10" x14ac:dyDescent="0.2">
      <c r="A71" s="83" t="s">
        <v>44</v>
      </c>
      <c r="B71" s="83">
        <f>SUMIF(Data!$G:$G, A71, Data!$Y:$Y)</f>
        <v>6235.645115718793</v>
      </c>
      <c r="C71" s="83">
        <f>SUMIFS(Data!$Y:$Y, Data!$G:$G, A71, Data!$K:$K, "Vietnam")</f>
        <v>4877.1021551522635</v>
      </c>
      <c r="D71" s="83">
        <f>SUMIFS(Data!$Y:$Y, Data!$G:$G, A71, Data!$K:$K, "Kenya")</f>
        <v>1358.5429605665299</v>
      </c>
      <c r="E71" s="84">
        <f>C71/'Number of Observations ESS'!C69</f>
        <v>812.85035919204392</v>
      </c>
      <c r="F71" s="85">
        <f>D71/'Number of Observations ESS'!D69</f>
        <v>679.27148028326496</v>
      </c>
    </row>
    <row r="72" spans="1:10" ht="13.5" thickBot="1" x14ac:dyDescent="0.25">
      <c r="A72" s="86" t="s">
        <v>2930</v>
      </c>
      <c r="B72" s="86">
        <f>SUMIF(Data!$G:$G, A72, Data!$Y:$Y)</f>
        <v>1100.7209147321687</v>
      </c>
      <c r="C72" s="86">
        <f>SUMIFS(Data!$Y:$Y, Data!$G:$G, A72, Data!$K:$K, "Vietnam")</f>
        <v>0</v>
      </c>
      <c r="D72" s="86">
        <f>SUMIFS(Data!$Y:$Y, Data!$G:$G, A72, Data!$K:$K, "Kenya")</f>
        <v>1100.7209147321687</v>
      </c>
      <c r="E72" s="87" t="e">
        <f>C72/'Number of Observations ESS'!C70</f>
        <v>#DIV/0!</v>
      </c>
      <c r="F72" s="88">
        <f>D72/'Number of Observations ESS'!D70</f>
        <v>550.36045736608435</v>
      </c>
    </row>
    <row r="73" spans="1:10" s="82" customFormat="1" x14ac:dyDescent="0.2">
      <c r="A73" s="79" t="s">
        <v>47</v>
      </c>
      <c r="B73" s="89"/>
      <c r="C73" s="89"/>
      <c r="D73" s="89"/>
      <c r="E73" s="90"/>
      <c r="F73" s="91"/>
      <c r="H73" s="78"/>
      <c r="I73" s="78"/>
      <c r="J73" s="78"/>
    </row>
    <row r="74" spans="1:10" x14ac:dyDescent="0.2">
      <c r="A74" s="83" t="s">
        <v>183</v>
      </c>
      <c r="B74" s="83">
        <f>SUMIF(Data!$G:$G, A74, Data!$Y:$Y)</f>
        <v>73405.136300975035</v>
      </c>
      <c r="C74" s="83">
        <f>SUMIFS(Data!$Y:$Y, Data!$G:$G, A74, Data!$K:$K, "Vietnam")</f>
        <v>0</v>
      </c>
      <c r="D74" s="83">
        <f>SUMIFS(Data!$Y:$Y, Data!$G:$G, A74, Data!$K:$K, "Kenya")</f>
        <v>73405.136300975035</v>
      </c>
      <c r="E74" s="84" t="e">
        <f>C74/'Number of Observations ESS'!C72</f>
        <v>#DIV/0!</v>
      </c>
      <c r="F74" s="85">
        <f>D74/'Number of Observations ESS'!D72</f>
        <v>1983.9226027290549</v>
      </c>
    </row>
    <row r="75" spans="1:10" x14ac:dyDescent="0.2">
      <c r="A75" s="83" t="s">
        <v>2931</v>
      </c>
      <c r="B75" s="83">
        <f>SUMIF(Data!$G:$G, A75, Data!$Y:$Y)</f>
        <v>0</v>
      </c>
      <c r="C75" s="83">
        <f>SUMIFS(Data!$Y:$Y, Data!$G:$G, A75, Data!$K:$K, "Vietnam")</f>
        <v>0</v>
      </c>
      <c r="D75" s="83">
        <f>SUMIFS(Data!$Y:$Y, Data!$G:$G, A75, Data!$K:$K, "Kenya")</f>
        <v>0</v>
      </c>
      <c r="E75" s="84" t="e">
        <f>C75/'Number of Observations ESS'!C73</f>
        <v>#DIV/0!</v>
      </c>
      <c r="F75" s="85" t="e">
        <f>D75/'Number of Observations ESS'!D73</f>
        <v>#DIV/0!</v>
      </c>
    </row>
    <row r="76" spans="1:10" ht="13.5" thickBot="1" x14ac:dyDescent="0.25">
      <c r="A76" s="86" t="s">
        <v>2932</v>
      </c>
      <c r="B76" s="86">
        <f>SUMIF(Data!$G:$G, A76, Data!$Y:$Y)</f>
        <v>401.9540263778627</v>
      </c>
      <c r="C76" s="86">
        <f>SUMIFS(Data!$Y:$Y, Data!$G:$G, A76, Data!$K:$K, "Vietnam")</f>
        <v>14.264472396500622</v>
      </c>
      <c r="D76" s="86">
        <f>SUMIFS(Data!$Y:$Y, Data!$G:$G, A76, Data!$K:$K, "Kenya")</f>
        <v>387.68955398136211</v>
      </c>
      <c r="E76" s="87">
        <f>C76/'Number of Observations ESS'!C74</f>
        <v>3.5661180991251555</v>
      </c>
      <c r="F76" s="88">
        <f>D76/'Number of Observations ESS'!D74</f>
        <v>193.84477699068105</v>
      </c>
    </row>
    <row r="77" spans="1:10" s="82" customFormat="1" x14ac:dyDescent="0.2">
      <c r="A77" s="79" t="s">
        <v>2933</v>
      </c>
      <c r="B77" s="89"/>
      <c r="C77" s="89"/>
      <c r="D77" s="89"/>
      <c r="E77" s="90"/>
      <c r="F77" s="91"/>
      <c r="H77" s="78"/>
      <c r="I77" s="78"/>
      <c r="J77" s="78"/>
    </row>
    <row r="78" spans="1:10" x14ac:dyDescent="0.2">
      <c r="A78" s="83" t="s">
        <v>24</v>
      </c>
      <c r="B78" s="83">
        <f>SUMIF(Data!$G:$G, A78, Data!$Y:$Y)</f>
        <v>0</v>
      </c>
      <c r="C78" s="83">
        <f>SUMIFS(Data!$Y:$Y, Data!$G:$G, A78, Data!$K:$K, "Vietnam")</f>
        <v>0</v>
      </c>
      <c r="D78" s="83">
        <f>SUMIFS(Data!$Y:$Y, Data!$G:$G, A78, Data!$K:$K, "Kenya")</f>
        <v>0</v>
      </c>
      <c r="E78" s="84" t="e">
        <f>C78/'Number of Observations ESS'!C76</f>
        <v>#DIV/0!</v>
      </c>
      <c r="F78" s="85" t="e">
        <f>D78/'Number of Observations ESS'!D76</f>
        <v>#DIV/0!</v>
      </c>
    </row>
    <row r="79" spans="1:10" x14ac:dyDescent="0.2">
      <c r="A79" s="83" t="s">
        <v>22</v>
      </c>
      <c r="B79" s="83">
        <f>SUMIF(Data!$G:$G, A79, Data!$Y:$Y)</f>
        <v>177.57906971330675</v>
      </c>
      <c r="C79" s="83">
        <f>SUMIFS(Data!$Y:$Y, Data!$G:$G, A79, Data!$K:$K, "Vietnam")</f>
        <v>0</v>
      </c>
      <c r="D79" s="83">
        <f>SUMIFS(Data!$Y:$Y, Data!$G:$G, A79, Data!$K:$K, "Kenya")</f>
        <v>177.57906971330675</v>
      </c>
      <c r="E79" s="84" t="e">
        <f>C79/'Number of Observations ESS'!C77</f>
        <v>#DIV/0!</v>
      </c>
      <c r="F79" s="85">
        <f>D79/'Number of Observations ESS'!D77</f>
        <v>177.57906971330675</v>
      </c>
    </row>
    <row r="80" spans="1:10" x14ac:dyDescent="0.2">
      <c r="A80" s="83" t="s">
        <v>23</v>
      </c>
      <c r="B80" s="83">
        <f>SUMIF(Data!$G:$G, A80, Data!$Y:$Y)</f>
        <v>0</v>
      </c>
      <c r="C80" s="83">
        <f>SUMIFS(Data!$Y:$Y, Data!$G:$G, A80, Data!$K:$K, "Vietnam")</f>
        <v>0</v>
      </c>
      <c r="D80" s="83">
        <f>SUMIFS(Data!$Y:$Y, Data!$G:$G, A80, Data!$K:$K, "Kenya")</f>
        <v>0</v>
      </c>
      <c r="E80" s="84" t="e">
        <f>C80/'Number of Observations ESS'!C78</f>
        <v>#DIV/0!</v>
      </c>
      <c r="F80" s="85" t="e">
        <f>D80/'Number of Observations ESS'!D78</f>
        <v>#DIV/0!</v>
      </c>
    </row>
    <row r="81" spans="1:10" ht="13.5" thickBot="1" x14ac:dyDescent="0.25">
      <c r="A81" s="86" t="s">
        <v>2934</v>
      </c>
      <c r="B81" s="86">
        <f>SUMIF(Data!$G:$G, A81, Data!$Y:$Y)</f>
        <v>426.9057082632562</v>
      </c>
      <c r="C81" s="86">
        <f>SUMIFS(Data!$Y:$Y, Data!$G:$G, A81, Data!$K:$K, "Vietnam")</f>
        <v>74.101324439567037</v>
      </c>
      <c r="D81" s="86">
        <f>SUMIFS(Data!$Y:$Y, Data!$G:$G, A81, Data!$K:$K, "Kenya")</f>
        <v>352.80438382368925</v>
      </c>
      <c r="E81" s="87">
        <f>C81/'Number of Observations ESS'!C79</f>
        <v>12.35022073992784</v>
      </c>
      <c r="F81" s="88">
        <f>D81/'Number of Observations ESS'!D79</f>
        <v>176.40219191184462</v>
      </c>
    </row>
    <row r="82" spans="1:10" s="82" customFormat="1" x14ac:dyDescent="0.2">
      <c r="A82" s="79" t="s">
        <v>2935</v>
      </c>
      <c r="B82" s="89"/>
      <c r="C82" s="89"/>
      <c r="D82" s="89"/>
      <c r="E82" s="90"/>
      <c r="F82" s="91"/>
      <c r="H82" s="78"/>
      <c r="I82" s="78"/>
      <c r="J82" s="78"/>
    </row>
    <row r="83" spans="1:10" x14ac:dyDescent="0.2">
      <c r="A83" s="83" t="s">
        <v>158</v>
      </c>
      <c r="B83" s="83">
        <f>SUMIF(Data!$G:$G, A83, Data!$Y:$Y)</f>
        <v>214.82715127016669</v>
      </c>
      <c r="C83" s="83">
        <f>SUMIFS(Data!$Y:$Y, Data!$G:$G, A83, Data!$K:$K, "Vietnam")</f>
        <v>0</v>
      </c>
      <c r="D83" s="83">
        <f>SUMIFS(Data!$Y:$Y, Data!$G:$G, A83, Data!$K:$K, "Kenya")</f>
        <v>214.82715127016669</v>
      </c>
      <c r="E83" s="84" t="e">
        <f>C83/'Number of Observations ESS'!C81</f>
        <v>#DIV/0!</v>
      </c>
      <c r="F83" s="85">
        <f>D83/'Number of Observations ESS'!D81</f>
        <v>107.41357563508335</v>
      </c>
    </row>
    <row r="84" spans="1:10" ht="13.5" thickBot="1" x14ac:dyDescent="0.25">
      <c r="A84" s="83" t="s">
        <v>208</v>
      </c>
      <c r="B84" s="83">
        <f>SUMIF(Data!$G:$G, A84, Data!$Y:$Y)</f>
        <v>1065.535616959902</v>
      </c>
      <c r="C84" s="83">
        <f>SUMIFS(Data!$Y:$Y, Data!$G:$G, A84, Data!$K:$K, "Vietnam")</f>
        <v>1065.535616959902</v>
      </c>
      <c r="D84" s="83">
        <f>SUMIFS(Data!$Y:$Y, Data!$G:$G, A84, Data!$K:$K, "Kenya")</f>
        <v>0</v>
      </c>
      <c r="E84" s="84">
        <f>C84/'Number of Observations ESS'!C82</f>
        <v>532.76780847995099</v>
      </c>
      <c r="F84" s="85" t="e">
        <f>D84/'Number of Observations ESS'!D82</f>
        <v>#DIV/0!</v>
      </c>
    </row>
    <row r="85" spans="1:10" s="82" customFormat="1" x14ac:dyDescent="0.2">
      <c r="A85" s="79" t="s">
        <v>2936</v>
      </c>
      <c r="B85" s="89"/>
      <c r="C85" s="89"/>
      <c r="D85" s="89"/>
      <c r="E85" s="90"/>
      <c r="F85" s="91"/>
      <c r="H85" s="78"/>
      <c r="I85" s="78"/>
      <c r="J85" s="78"/>
    </row>
    <row r="86" spans="1:10" ht="13.5" thickBot="1" x14ac:dyDescent="0.25">
      <c r="A86" s="86" t="s">
        <v>142</v>
      </c>
      <c r="B86" s="86">
        <f>SUMIF(Data!$G:$G, A86, Data!$Y:$Y)</f>
        <v>6000.1675535074637</v>
      </c>
      <c r="C86" s="86">
        <f>SUMIFS(Data!$Y:$Y, Data!$G:$G, A86, Data!$K:$K, "Vietnam")</f>
        <v>4849.675578854728</v>
      </c>
      <c r="D86" s="86">
        <f>SUMIFS(Data!$Y:$Y, Data!$G:$G, A86, Data!$K:$K, "Kenya")</f>
        <v>1150.4919746527353</v>
      </c>
      <c r="E86" s="87">
        <f>C86/'Number of Observations ESS'!C84</f>
        <v>110.21989951942564</v>
      </c>
      <c r="F86" s="88">
        <f>D86/'Number of Observations ESS'!D84</f>
        <v>143.81149683159191</v>
      </c>
    </row>
    <row r="87" spans="1:10" s="82" customFormat="1" x14ac:dyDescent="0.2">
      <c r="A87" s="79" t="s">
        <v>2937</v>
      </c>
      <c r="B87" s="89"/>
      <c r="C87" s="89"/>
      <c r="D87" s="89"/>
      <c r="E87" s="90"/>
      <c r="F87" s="91"/>
      <c r="H87" s="78"/>
      <c r="I87" s="78"/>
      <c r="J87" s="78"/>
    </row>
    <row r="88" spans="1:10" ht="13.5" thickBot="1" x14ac:dyDescent="0.25">
      <c r="A88" s="86" t="s">
        <v>55</v>
      </c>
      <c r="B88" s="86">
        <f>SUMIF(Data!$G:$G, A88, Data!$Y:$Y)</f>
        <v>0</v>
      </c>
      <c r="C88" s="86">
        <f>SUMIFS(Data!$Y:$Y, Data!$G:$G, A88, Data!$K:$K, "Vietnam")</f>
        <v>0</v>
      </c>
      <c r="D88" s="86">
        <f>SUMIFS(Data!$Y:$Y, Data!$G:$G, A88, Data!$K:$K, "Kenya")</f>
        <v>0</v>
      </c>
      <c r="E88" s="87" t="e">
        <f>C88/'Number of Observations ESS'!C86</f>
        <v>#DIV/0!</v>
      </c>
      <c r="F88" s="88" t="e">
        <f>D88/'Number of Observations ESS'!D86</f>
        <v>#DIV/0!</v>
      </c>
    </row>
    <row r="89" spans="1:10" s="82" customFormat="1" x14ac:dyDescent="0.2">
      <c r="A89" s="79" t="s">
        <v>2938</v>
      </c>
      <c r="B89" s="89"/>
      <c r="C89" s="89"/>
      <c r="D89" s="89"/>
      <c r="E89" s="90"/>
      <c r="F89" s="91"/>
      <c r="H89" s="78"/>
      <c r="I89" s="78"/>
      <c r="J89" s="78"/>
    </row>
    <row r="90" spans="1:10" x14ac:dyDescent="0.2">
      <c r="A90" s="83" t="s">
        <v>121</v>
      </c>
      <c r="B90" s="83">
        <f>SUMIF(Data!$G:$G, A90, Data!$Y:$Y)</f>
        <v>2555.6844862691401</v>
      </c>
      <c r="C90" s="83">
        <f>SUMIFS(Data!$Y:$Y, Data!$G:$G, A90, Data!$K:$K, "Vietnam")</f>
        <v>1623.8165236328871</v>
      </c>
      <c r="D90" s="83">
        <f>SUMIFS(Data!$Y:$Y, Data!$G:$G, A90, Data!$K:$K, "Kenya")</f>
        <v>931.86796263625297</v>
      </c>
      <c r="E90" s="84">
        <f>C90/'Number of Observations ESS'!C88</f>
        <v>270.63608727214785</v>
      </c>
      <c r="F90" s="85">
        <f>D90/'Number of Observations ESS'!D88</f>
        <v>232.96699065906324</v>
      </c>
    </row>
    <row r="91" spans="1:10" x14ac:dyDescent="0.2">
      <c r="A91" s="83" t="s">
        <v>123</v>
      </c>
      <c r="B91" s="83">
        <f>SUMIF(Data!$G:$G, A91, Data!$Y:$Y)</f>
        <v>13656.535900949344</v>
      </c>
      <c r="C91" s="83">
        <f>SUMIFS(Data!$Y:$Y, Data!$G:$G, A91, Data!$K:$K, "Vietnam")</f>
        <v>10553.673547620361</v>
      </c>
      <c r="D91" s="83">
        <f>SUMIFS(Data!$Y:$Y, Data!$G:$G, A91, Data!$K:$K, "Kenya")</f>
        <v>3102.862353328981</v>
      </c>
      <c r="E91" s="84">
        <f>C91/'Number of Observations ESS'!C89</f>
        <v>1319.2091934525452</v>
      </c>
      <c r="F91" s="85">
        <f>D91/'Number of Observations ESS'!D89</f>
        <v>100.09233397835423</v>
      </c>
    </row>
    <row r="92" spans="1:10" x14ac:dyDescent="0.2">
      <c r="A92" s="83" t="s">
        <v>159</v>
      </c>
      <c r="B92" s="83">
        <f>SUMIF(Data!$G:$G, A92, Data!$Y:$Y)</f>
        <v>45.025699047220705</v>
      </c>
      <c r="C92" s="83">
        <f>SUMIFS(Data!$Y:$Y, Data!$G:$G, A92, Data!$K:$K, "Vietnam")</f>
        <v>0</v>
      </c>
      <c r="D92" s="83">
        <f>SUMIFS(Data!$Y:$Y, Data!$G:$G, A92, Data!$K:$K, "Kenya")</f>
        <v>45.025699047220705</v>
      </c>
      <c r="E92" s="84" t="e">
        <f>C92/'Number of Observations ESS'!C90</f>
        <v>#DIV/0!</v>
      </c>
      <c r="F92" s="85">
        <f>D92/'Number of Observations ESS'!D90</f>
        <v>15.008566349073568</v>
      </c>
    </row>
    <row r="93" spans="1:10" ht="13.5" thickBot="1" x14ac:dyDescent="0.25">
      <c r="A93" s="86" t="s">
        <v>2939</v>
      </c>
      <c r="B93" s="86">
        <f>SUMIF(Data!$G:$G, A93, Data!$Y:$Y)</f>
        <v>2.5359088434979742</v>
      </c>
      <c r="C93" s="86">
        <f>SUMIFS(Data!$Y:$Y, Data!$G:$G, A93, Data!$K:$K, "Vietnam")</f>
        <v>0</v>
      </c>
      <c r="D93" s="86">
        <f>SUMIFS(Data!$Y:$Y, Data!$G:$G, A93, Data!$K:$K, "Kenya")</f>
        <v>2.5359088434979742</v>
      </c>
      <c r="E93" s="87" t="e">
        <f>C93/'Number of Observations ESS'!C91</f>
        <v>#DIV/0!</v>
      </c>
      <c r="F93" s="88">
        <f>D93/'Number of Observations ESS'!D91</f>
        <v>1.2679544217489871</v>
      </c>
    </row>
    <row r="94" spans="1:10" s="82" customFormat="1" x14ac:dyDescent="0.2">
      <c r="A94" s="79" t="s">
        <v>2940</v>
      </c>
      <c r="B94" s="89"/>
      <c r="C94" s="89"/>
      <c r="D94" s="89"/>
      <c r="E94" s="90"/>
      <c r="F94" s="91"/>
      <c r="H94" s="78"/>
      <c r="I94" s="78"/>
      <c r="J94" s="78"/>
    </row>
    <row r="95" spans="1:10" x14ac:dyDescent="0.2">
      <c r="A95" s="83" t="s">
        <v>11</v>
      </c>
      <c r="B95" s="83">
        <f>SUMIF(Data!$G:$G, A95, Data!$Y:$Y)</f>
        <v>0</v>
      </c>
      <c r="C95" s="83">
        <f>SUMIFS(Data!$Y:$Y, Data!$G:$G, A95, Data!$K:$K, "Vietnam")</f>
        <v>0</v>
      </c>
      <c r="D95" s="83">
        <f>SUMIFS(Data!$Y:$Y, Data!$G:$G, A95, Data!$K:$K, "Kenya")</f>
        <v>0</v>
      </c>
      <c r="E95" s="84" t="e">
        <f>C95/'Number of Observations ESS'!C93</f>
        <v>#DIV/0!</v>
      </c>
      <c r="F95" s="85" t="e">
        <f>D95/'Number of Observations ESS'!D93</f>
        <v>#DIV/0!</v>
      </c>
    </row>
    <row r="96" spans="1:10" x14ac:dyDescent="0.2">
      <c r="A96" s="83" t="s">
        <v>19</v>
      </c>
      <c r="B96" s="83">
        <f>SUMIF(Data!$G:$G, A96, Data!$Y:$Y)</f>
        <v>34.05285614725824</v>
      </c>
      <c r="C96" s="83">
        <f>SUMIFS(Data!$Y:$Y, Data!$G:$G, A96, Data!$K:$K, "Vietnam")</f>
        <v>12.780033123841674</v>
      </c>
      <c r="D96" s="83">
        <f>SUMIFS(Data!$Y:$Y, Data!$G:$G, A96, Data!$K:$K, "Kenya")</f>
        <v>21.272823023416567</v>
      </c>
      <c r="E96" s="84">
        <f>C96/'Number of Observations ESS'!C94</f>
        <v>3.1950082809604186</v>
      </c>
      <c r="F96" s="85">
        <f>D96/'Number of Observations ESS'!D94</f>
        <v>10.636411511708284</v>
      </c>
    </row>
    <row r="97" spans="1:10" ht="13.5" thickBot="1" x14ac:dyDescent="0.25">
      <c r="A97" s="86" t="s">
        <v>2941</v>
      </c>
      <c r="B97" s="86">
        <f>SUMIF(Data!$G:$G, A97, Data!$Y:$Y)</f>
        <v>0</v>
      </c>
      <c r="C97" s="86">
        <f>SUMIFS(Data!$Y:$Y, Data!$G:$G, A97, Data!$K:$K, "Vietnam")</f>
        <v>0</v>
      </c>
      <c r="D97" s="86">
        <f>SUMIFS(Data!$Y:$Y, Data!$G:$G, A97, Data!$K:$K, "Kenya")</f>
        <v>0</v>
      </c>
      <c r="E97" s="87" t="e">
        <f>C97/'Number of Observations ESS'!C95</f>
        <v>#DIV/0!</v>
      </c>
      <c r="F97" s="88" t="e">
        <f>D97/'Number of Observations ESS'!D95</f>
        <v>#DIV/0!</v>
      </c>
    </row>
    <row r="98" spans="1:10" x14ac:dyDescent="0.2">
      <c r="A98" s="79" t="s">
        <v>2942</v>
      </c>
      <c r="B98" s="89"/>
      <c r="C98" s="89"/>
      <c r="D98" s="89"/>
      <c r="E98" s="90"/>
      <c r="F98" s="91"/>
    </row>
    <row r="99" spans="1:10" s="82" customFormat="1" ht="13.5" thickBot="1" x14ac:dyDescent="0.25">
      <c r="A99" s="86" t="s">
        <v>13</v>
      </c>
      <c r="B99" s="86">
        <f>SUMIF(Data!$G:$G, A99, Data!$Y:$Y)</f>
        <v>0</v>
      </c>
      <c r="C99" s="86">
        <f>SUMIFS(Data!$Y:$Y, Data!$G:$G, A99, Data!$K:$K, "Vietnam")</f>
        <v>0</v>
      </c>
      <c r="D99" s="86">
        <f>SUMIFS(Data!$Y:$Y, Data!$G:$G, A99, Data!$K:$K, "Kenya")</f>
        <v>0</v>
      </c>
      <c r="E99" s="87" t="e">
        <f>C99/'Number of Observations ESS'!C97</f>
        <v>#DIV/0!</v>
      </c>
      <c r="F99" s="88" t="e">
        <f>D99/'Number of Observations ESS'!D97</f>
        <v>#DIV/0!</v>
      </c>
      <c r="H99" s="78"/>
      <c r="I99" s="78"/>
      <c r="J99" s="78"/>
    </row>
    <row r="100" spans="1:10" x14ac:dyDescent="0.2">
      <c r="A100" s="79" t="s">
        <v>2943</v>
      </c>
      <c r="B100" s="89"/>
      <c r="C100" s="89"/>
      <c r="D100" s="89"/>
      <c r="E100" s="90"/>
      <c r="F100" s="91"/>
    </row>
    <row r="101" spans="1:10" s="82" customFormat="1" x14ac:dyDescent="0.2">
      <c r="A101" s="83" t="s">
        <v>57</v>
      </c>
      <c r="B101" s="83">
        <f>SUMIF(Data!$G:$G, A101, Data!$Y:$Y)</f>
        <v>248.12946409305778</v>
      </c>
      <c r="C101" s="83">
        <f>SUMIFS(Data!$Y:$Y, Data!$G:$G, A101, Data!$K:$K, "Vietnam")</f>
        <v>0</v>
      </c>
      <c r="D101" s="83">
        <f>SUMIFS(Data!$Y:$Y, Data!$G:$G, A101, Data!$K:$K, "Kenya")</f>
        <v>248.12946409305778</v>
      </c>
      <c r="E101" s="84" t="e">
        <f>C101/'Number of Observations ESS'!C99</f>
        <v>#DIV/0!</v>
      </c>
      <c r="F101" s="85">
        <f>D101/'Number of Observations ESS'!D99</f>
        <v>82.709821364352592</v>
      </c>
      <c r="H101" s="78"/>
      <c r="I101" s="78"/>
      <c r="J101" s="78"/>
    </row>
    <row r="102" spans="1:10" x14ac:dyDescent="0.2">
      <c r="A102" s="83" t="s">
        <v>53</v>
      </c>
      <c r="B102" s="83">
        <f>SUMIF(Data!$G:$G, A102, Data!$Y:$Y)</f>
        <v>4662.8147113417526</v>
      </c>
      <c r="C102" s="83">
        <f>SUMIFS(Data!$Y:$Y, Data!$G:$G, A102, Data!$K:$K, "Vietnam")</f>
        <v>0</v>
      </c>
      <c r="D102" s="83">
        <f>SUMIFS(Data!$Y:$Y, Data!$G:$G, A102, Data!$K:$K, "Kenya")</f>
        <v>4662.8147113417526</v>
      </c>
      <c r="E102" s="84" t="e">
        <f>C102/'Number of Observations ESS'!C100</f>
        <v>#DIV/0!</v>
      </c>
      <c r="F102" s="85">
        <f>D102/'Number of Observations ESS'!D100</f>
        <v>2331.4073556708763</v>
      </c>
    </row>
    <row r="103" spans="1:10" ht="13.5" thickBot="1" x14ac:dyDescent="0.25">
      <c r="A103" s="83" t="s">
        <v>2944</v>
      </c>
      <c r="B103" s="83">
        <f>SUMIF(Data!$G:$G, A103, Data!$Y:$Y)</f>
        <v>0</v>
      </c>
      <c r="C103" s="83">
        <f>SUMIFS(Data!$Y:$Y, Data!$G:$G, A103, Data!$K:$K, "Vietnam")</f>
        <v>0</v>
      </c>
      <c r="D103" s="83">
        <f>SUMIFS(Data!$Y:$Y, Data!$G:$G, A103, Data!$K:$K, "Kenya")</f>
        <v>0</v>
      </c>
      <c r="E103" s="84" t="e">
        <f>C103/'Number of Observations ESS'!C101</f>
        <v>#DIV/0!</v>
      </c>
      <c r="F103" s="85" t="e">
        <f>D103/'Number of Observations ESS'!D101</f>
        <v>#DIV/0!</v>
      </c>
    </row>
    <row r="104" spans="1:10" x14ac:dyDescent="0.2">
      <c r="A104" s="79" t="s">
        <v>2945</v>
      </c>
      <c r="B104" s="89"/>
      <c r="C104" s="89"/>
      <c r="D104" s="89"/>
      <c r="E104" s="90"/>
      <c r="F104" s="91"/>
    </row>
    <row r="105" spans="1:10" s="82" customFormat="1" ht="13.5" thickBot="1" x14ac:dyDescent="0.25">
      <c r="A105" s="86" t="s">
        <v>29</v>
      </c>
      <c r="B105" s="86">
        <f>SUMIF(Data!$G:$G, A105, Data!$Y:$Y)</f>
        <v>7134474.9999025771</v>
      </c>
      <c r="C105" s="86">
        <f>SUMIFS(Data!$Y:$Y, Data!$G:$G, A105, Data!$K:$K, "Vietnam")</f>
        <v>300212.83764225018</v>
      </c>
      <c r="D105" s="86">
        <f>SUMIFS(Data!$Y:$Y, Data!$G:$G, A105, Data!$K:$K, "Kenya")</f>
        <v>6834262.16226032</v>
      </c>
      <c r="E105" s="87">
        <f>C105/'Number of Observations ESS'!C103</f>
        <v>1159.1229252596531</v>
      </c>
      <c r="F105" s="88">
        <f>D105/'Number of Observations ESS'!D103</f>
        <v>58412.497113336067</v>
      </c>
      <c r="H105" s="78"/>
      <c r="I105" s="78"/>
      <c r="J105" s="78"/>
    </row>
    <row r="106" spans="1:10" x14ac:dyDescent="0.2">
      <c r="A106" s="79" t="s">
        <v>2946</v>
      </c>
      <c r="B106" s="89"/>
      <c r="C106" s="89"/>
      <c r="D106" s="89"/>
      <c r="E106" s="90"/>
      <c r="F106" s="91"/>
    </row>
    <row r="107" spans="1:10" s="82" customFormat="1" ht="13.5" thickBot="1" x14ac:dyDescent="0.25">
      <c r="A107" s="86" t="s">
        <v>163</v>
      </c>
      <c r="B107" s="86">
        <f>SUMIF(Data!$G:$G, A107, Data!$Y:$Y)</f>
        <v>10090604.738749569</v>
      </c>
      <c r="C107" s="86">
        <f>SUMIFS(Data!$Y:$Y, Data!$G:$G, A107, Data!$K:$K, "Vietnam")</f>
        <v>449.65881403374908</v>
      </c>
      <c r="D107" s="86">
        <f>SUMIFS(Data!$Y:$Y, Data!$G:$G, A107, Data!$K:$K, "Kenya")</f>
        <v>10090155.079935532</v>
      </c>
      <c r="E107" s="87">
        <f>C107/'Number of Observations ESS'!C105</f>
        <v>16.654030149398114</v>
      </c>
      <c r="F107" s="88">
        <f>D107/'Number of Observations ESS'!D105</f>
        <v>65097.774709261495</v>
      </c>
      <c r="H107" s="78"/>
      <c r="I107" s="78"/>
      <c r="J107" s="78"/>
    </row>
    <row r="108" spans="1:10" x14ac:dyDescent="0.2">
      <c r="A108" s="79" t="s">
        <v>134</v>
      </c>
      <c r="B108" s="89"/>
      <c r="C108" s="89"/>
      <c r="D108" s="89"/>
      <c r="E108" s="90"/>
      <c r="F108" s="91"/>
    </row>
    <row r="109" spans="1:10" s="82" customFormat="1" ht="13.5" thickBot="1" x14ac:dyDescent="0.25">
      <c r="A109" s="86" t="s">
        <v>147</v>
      </c>
      <c r="B109" s="86">
        <f>SUMIF(Data!$G:$G, A109, Data!$Y:$Y)</f>
        <v>29570.158217532062</v>
      </c>
      <c r="C109" s="86">
        <f>SUMIFS(Data!$Y:$Y, Data!$G:$G, A109, Data!$K:$K, "Vietnam")</f>
        <v>0</v>
      </c>
      <c r="D109" s="86">
        <f>SUMIFS(Data!$Y:$Y, Data!$G:$G, A109, Data!$K:$K, "Kenya")</f>
        <v>29570.158217532062</v>
      </c>
      <c r="E109" s="87" t="e">
        <f>C109/'Number of Observations ESS'!C107</f>
        <v>#DIV/0!</v>
      </c>
      <c r="F109" s="88">
        <f>D109/'Number of Observations ESS'!D107</f>
        <v>3285.57313528134</v>
      </c>
      <c r="H109" s="78"/>
      <c r="I109" s="78"/>
      <c r="J109" s="78"/>
    </row>
    <row r="110" spans="1:10" x14ac:dyDescent="0.2">
      <c r="A110" s="79" t="s">
        <v>2947</v>
      </c>
      <c r="B110" s="89"/>
      <c r="C110" s="89"/>
      <c r="D110" s="89"/>
      <c r="E110" s="90"/>
      <c r="F110" s="91"/>
    </row>
    <row r="111" spans="1:10" s="82" customFormat="1" x14ac:dyDescent="0.2">
      <c r="A111" s="83" t="s">
        <v>109</v>
      </c>
      <c r="B111" s="83">
        <f>SUMIF(Data!$G:$G, A111, Data!$Y:$Y)</f>
        <v>22.535429254038437</v>
      </c>
      <c r="C111" s="83">
        <f>SUMIFS(Data!$Y:$Y, Data!$G:$G, A111, Data!$K:$K, "Vietnam")</f>
        <v>0</v>
      </c>
      <c r="D111" s="83">
        <f>SUMIFS(Data!$Y:$Y, Data!$G:$G, A111, Data!$K:$K, "Kenya")</f>
        <v>22.535429254038437</v>
      </c>
      <c r="E111" s="84" t="e">
        <f>C111/'Number of Observations ESS'!C109</f>
        <v>#DIV/0!</v>
      </c>
      <c r="F111" s="85">
        <f>D111/'Number of Observations ESS'!D109</f>
        <v>2.8169286567548046</v>
      </c>
      <c r="H111" s="78"/>
      <c r="I111" s="78"/>
      <c r="J111" s="78"/>
    </row>
    <row r="112" spans="1:10" x14ac:dyDescent="0.2">
      <c r="A112" s="83" t="s">
        <v>2948</v>
      </c>
      <c r="B112" s="83">
        <f>SUMIF(Data!$G:$G, A112, Data!$Y:$Y)</f>
        <v>4.2162216681737643</v>
      </c>
      <c r="C112" s="83">
        <f>SUMIFS(Data!$Y:$Y, Data!$G:$G, A112, Data!$K:$K, "Vietnam")</f>
        <v>0</v>
      </c>
      <c r="D112" s="83">
        <f>SUMIFS(Data!$Y:$Y, Data!$G:$G, A112, Data!$K:$K, "Kenya")</f>
        <v>4.2162216681737643</v>
      </c>
      <c r="E112" s="84" t="e">
        <f>C112/'Number of Observations ESS'!C110</f>
        <v>#DIV/0!</v>
      </c>
      <c r="F112" s="85">
        <f>D112/'Number of Observations ESS'!D110</f>
        <v>2.1081108340868822</v>
      </c>
    </row>
    <row r="113" spans="1:10" x14ac:dyDescent="0.2">
      <c r="A113" s="83" t="s">
        <v>2949</v>
      </c>
      <c r="B113" s="83">
        <f>SUMIF(Data!$G:$G, A113, Data!$Y:$Y)</f>
        <v>0</v>
      </c>
      <c r="C113" s="83">
        <f>SUMIFS(Data!$Y:$Y, Data!$G:$G, A113, Data!$K:$K, "Vietnam")</f>
        <v>0</v>
      </c>
      <c r="D113" s="83">
        <f>SUMIFS(Data!$Y:$Y, Data!$G:$G, A113, Data!$K:$K, "Kenya")</f>
        <v>0</v>
      </c>
      <c r="E113" s="84" t="e">
        <f>C113/'Number of Observations ESS'!C111</f>
        <v>#DIV/0!</v>
      </c>
      <c r="F113" s="85" t="e">
        <f>D113/'Number of Observations ESS'!D111</f>
        <v>#DIV/0!</v>
      </c>
    </row>
    <row r="114" spans="1:10" x14ac:dyDescent="0.2">
      <c r="A114" s="83" t="s">
        <v>2950</v>
      </c>
      <c r="B114" s="83">
        <f>SUMIF(Data!$G:$G, A114, Data!$Y:$Y)</f>
        <v>0</v>
      </c>
      <c r="C114" s="83">
        <f>SUMIFS(Data!$Y:$Y, Data!$G:$G, A114, Data!$K:$K, "Vietnam")</f>
        <v>0</v>
      </c>
      <c r="D114" s="83">
        <f>SUMIFS(Data!$Y:$Y, Data!$G:$G, A114, Data!$K:$K, "Kenya")</f>
        <v>0</v>
      </c>
      <c r="E114" s="84" t="e">
        <f>C114/'Number of Observations ESS'!C112</f>
        <v>#DIV/0!</v>
      </c>
      <c r="F114" s="85" t="e">
        <f>D114/'Number of Observations ESS'!D112</f>
        <v>#DIV/0!</v>
      </c>
    </row>
    <row r="115" spans="1:10" ht="13.5" thickBot="1" x14ac:dyDescent="0.25">
      <c r="A115" s="86" t="s">
        <v>2951</v>
      </c>
      <c r="B115" s="86">
        <f>SUMIF(Data!$G:$G, A115, Data!$Y:$Y)</f>
        <v>0</v>
      </c>
      <c r="C115" s="86">
        <f>SUMIFS(Data!$Y:$Y, Data!$G:$G, A115, Data!$K:$K, "Vietnam")</f>
        <v>0</v>
      </c>
      <c r="D115" s="86">
        <f>SUMIFS(Data!$Y:$Y, Data!$G:$G, A115, Data!$K:$K, "Kenya")</f>
        <v>0</v>
      </c>
      <c r="E115" s="87" t="e">
        <f>C115/'Number of Observations ESS'!C113</f>
        <v>#DIV/0!</v>
      </c>
      <c r="F115" s="88" t="e">
        <f>D115/'Number of Observations ESS'!D113</f>
        <v>#DIV/0!</v>
      </c>
    </row>
    <row r="116" spans="1:10" x14ac:dyDescent="0.2">
      <c r="A116" s="79" t="s">
        <v>2952</v>
      </c>
      <c r="B116" s="89"/>
      <c r="C116" s="89"/>
      <c r="D116" s="89"/>
      <c r="E116" s="90"/>
      <c r="F116" s="91"/>
    </row>
    <row r="117" spans="1:10" s="82" customFormat="1" ht="13.5" thickBot="1" x14ac:dyDescent="0.25">
      <c r="A117" s="86" t="s">
        <v>2895</v>
      </c>
      <c r="B117" s="86">
        <f>SUMIF(Data!$G:$G, A117, Data!$Y:$Y)</f>
        <v>156.55778310978985</v>
      </c>
      <c r="C117" s="86">
        <f>SUMIFS(Data!$Y:$Y, Data!$G:$G, A117, Data!$K:$K, "Vietnam")</f>
        <v>142.99111588487312</v>
      </c>
      <c r="D117" s="86">
        <f>SUMIFS(Data!$Y:$Y, Data!$G:$G, A117, Data!$K:$K, "Kenya")</f>
        <v>13.566667224916763</v>
      </c>
      <c r="E117" s="87">
        <f>C117/'Number of Observations ESS'!C115</f>
        <v>71.495557942436562</v>
      </c>
      <c r="F117" s="88">
        <f>D117/'Number of Observations ESS'!D115</f>
        <v>6.7833336124583816</v>
      </c>
      <c r="H117" s="78"/>
      <c r="I117" s="78"/>
      <c r="J117" s="78"/>
    </row>
    <row r="118" spans="1:10" x14ac:dyDescent="0.2">
      <c r="A118" s="79" t="s">
        <v>2953</v>
      </c>
      <c r="B118" s="89"/>
      <c r="C118" s="89"/>
      <c r="D118" s="89"/>
      <c r="E118" s="90"/>
      <c r="F118" s="91"/>
    </row>
    <row r="119" spans="1:10" s="82" customFormat="1" ht="13.5" thickBot="1" x14ac:dyDescent="0.25">
      <c r="A119" s="86" t="s">
        <v>2896</v>
      </c>
      <c r="B119" s="86">
        <f>SUMIF(Data!$G:$G, A119, Data!$Y:$Y)</f>
        <v>0</v>
      </c>
      <c r="C119" s="86">
        <f>SUMIFS(Data!$Y:$Y, Data!$G:$G, A119, Data!$K:$K, "Vietnam")</f>
        <v>0</v>
      </c>
      <c r="D119" s="86">
        <f>SUMIFS(Data!$Y:$Y, Data!$G:$G, A119, Data!$K:$K, "Kenya")</f>
        <v>0</v>
      </c>
      <c r="E119" s="87" t="e">
        <f>C119/'Number of Observations ESS'!C117</f>
        <v>#DIV/0!</v>
      </c>
      <c r="F119" s="88" t="e">
        <f>D119/'Number of Observations ESS'!D117</f>
        <v>#DIV/0!</v>
      </c>
      <c r="H119" s="78"/>
      <c r="I119" s="78"/>
      <c r="J119" s="78"/>
    </row>
    <row r="120" spans="1:10" x14ac:dyDescent="0.2">
      <c r="A120" s="79" t="s">
        <v>2954</v>
      </c>
      <c r="B120" s="89"/>
      <c r="C120" s="89"/>
      <c r="D120" s="89"/>
      <c r="E120" s="90"/>
      <c r="F120" s="91"/>
    </row>
    <row r="121" spans="1:10" s="82" customFormat="1" ht="13.5" thickBot="1" x14ac:dyDescent="0.25">
      <c r="A121" s="86" t="s">
        <v>2955</v>
      </c>
      <c r="B121" s="86">
        <f>SUMIF(Data!$G:$G, A121, Data!$Y:$Y)</f>
        <v>1485.8168361048838</v>
      </c>
      <c r="C121" s="86">
        <f>SUMIFS(Data!$Y:$Y, Data!$G:$G, A121, Data!$K:$K, "Vietnam")</f>
        <v>1485.8168361048838</v>
      </c>
      <c r="D121" s="86">
        <f>SUMIFS(Data!$Y:$Y, Data!$G:$G, A121, Data!$K:$K, "Kenya")</f>
        <v>0</v>
      </c>
      <c r="E121" s="87">
        <f>C121/'Number of Observations ESS'!C119</f>
        <v>1485.8168361048838</v>
      </c>
      <c r="F121" s="88" t="e">
        <f>D121/'Number of Observations ESS'!D119</f>
        <v>#DIV/0!</v>
      </c>
      <c r="H121" s="78"/>
      <c r="I121" s="78"/>
      <c r="J121" s="78"/>
    </row>
    <row r="122" spans="1:10" x14ac:dyDescent="0.2">
      <c r="A122" s="79" t="s">
        <v>2956</v>
      </c>
      <c r="B122" s="89"/>
      <c r="C122" s="89"/>
      <c r="D122" s="89"/>
      <c r="E122" s="90"/>
      <c r="F122" s="91"/>
    </row>
    <row r="123" spans="1:10" s="82" customFormat="1" ht="13.5" thickBot="1" x14ac:dyDescent="0.25">
      <c r="A123" s="86" t="s">
        <v>2957</v>
      </c>
      <c r="B123" s="86">
        <f>SUMIF(Data!$G:$G, A123, Data!$Y:$Y)</f>
        <v>121.13139102961887</v>
      </c>
      <c r="C123" s="86">
        <f>SUMIFS(Data!$Y:$Y, Data!$G:$G, A123, Data!$K:$K, "Vietnam")</f>
        <v>0</v>
      </c>
      <c r="D123" s="86">
        <f>SUMIFS(Data!$Y:$Y, Data!$G:$G, A123, Data!$K:$K, "Kenya")</f>
        <v>121.13139102961887</v>
      </c>
      <c r="E123" s="87" t="e">
        <f>C123/'Number of Observations ESS'!C121</f>
        <v>#DIV/0!</v>
      </c>
      <c r="F123" s="88">
        <f>D123/'Number of Observations ESS'!D121</f>
        <v>60.565695514809434</v>
      </c>
      <c r="H123" s="78"/>
      <c r="I123" s="78"/>
      <c r="J123" s="78"/>
    </row>
  </sheetData>
  <mergeCells count="2">
    <mergeCell ref="B1:F1"/>
    <mergeCell ref="A1:A2"/>
  </mergeCells>
  <pageMargins left="0.7" right="0.7" top="0.75" bottom="0.75" header="0.3" footer="0.3"/>
  <pageSetup orientation="portrait" r:id="rId1"/>
</worksheet>
</file>

<file path=xl/worksheets/sheet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F39526-FB3B-46C8-A368-757DD7E87473}">
  <dimension ref="A1:F37"/>
  <sheetViews>
    <sheetView tabSelected="1" workbookViewId="0">
      <selection activeCell="G29" sqref="G29"/>
    </sheetView>
  </sheetViews>
  <sheetFormatPr defaultColWidth="8.7109375" defaultRowHeight="12.75" x14ac:dyDescent="0.2"/>
  <cols>
    <col min="1" max="1" width="21.5703125" style="84" bestFit="1" customWidth="1"/>
    <col min="2" max="2" width="11.28515625" style="83" bestFit="1" customWidth="1"/>
    <col min="3" max="3" width="10.42578125" style="83" bestFit="1" customWidth="1"/>
    <col min="4" max="4" width="11.28515625" style="83" bestFit="1" customWidth="1"/>
    <col min="5" max="5" width="19.28515625" style="83" bestFit="1" customWidth="1"/>
    <col min="6" max="6" width="18.5703125" style="84" customWidth="1"/>
    <col min="7" max="7" width="15" style="78" customWidth="1"/>
    <col min="8" max="8" width="8.7109375" style="78" customWidth="1"/>
    <col min="9" max="16384" width="8.7109375" style="78"/>
  </cols>
  <sheetData>
    <row r="1" spans="1:6" ht="13.5" thickBot="1" x14ac:dyDescent="0.25">
      <c r="A1" s="105" t="s">
        <v>2973</v>
      </c>
      <c r="B1" s="100" t="s">
        <v>2972</v>
      </c>
      <c r="C1" s="101"/>
      <c r="D1" s="101"/>
      <c r="E1" s="101"/>
      <c r="F1" s="102"/>
    </row>
    <row r="2" spans="1:6" ht="13.5" thickBot="1" x14ac:dyDescent="0.25">
      <c r="A2" s="106"/>
      <c r="B2" s="92" t="s">
        <v>2892</v>
      </c>
      <c r="C2" s="92" t="s">
        <v>1513</v>
      </c>
      <c r="D2" s="92" t="s">
        <v>129</v>
      </c>
      <c r="E2" s="92" t="s">
        <v>2970</v>
      </c>
      <c r="F2" s="93" t="s">
        <v>2971</v>
      </c>
    </row>
    <row r="3" spans="1:6" x14ac:dyDescent="0.2">
      <c r="A3" s="94" t="s">
        <v>2888</v>
      </c>
      <c r="B3" s="89">
        <f>SUMIF(Data!$E:$E,"Provisioning", Data!$Y:$Y)</f>
        <v>5853220.6355322339</v>
      </c>
      <c r="C3" s="89">
        <f>SUMIFS(Data!$Y:$Y, Data!$E:$E, "Provisioning", Data!$K:$K, "Vietnam")</f>
        <v>4562016.3329533786</v>
      </c>
      <c r="D3" s="89">
        <f>SUMIFS(Data!$Y:$Y, Data!$E:$E, "Provisioning", Data!$K:$K, "Kenya")</f>
        <v>1291204.3025788534</v>
      </c>
      <c r="E3" s="89">
        <f>C3/'Number of Observations ES'!D3</f>
        <v>12997.197529781706</v>
      </c>
      <c r="F3" s="90">
        <f>D3/'Number of Observations ES'!E3</f>
        <v>4514.70035866732</v>
      </c>
    </row>
    <row r="4" spans="1:6" x14ac:dyDescent="0.2">
      <c r="A4" s="95" t="s">
        <v>237</v>
      </c>
      <c r="B4" s="83">
        <f>SUMIF(Data!$F:$F, "Food", Data!$Y:$Y)</f>
        <v>4638262.5369370086</v>
      </c>
      <c r="C4" s="83">
        <f>SUMIFS(Data!$Y:$Y, Data!$F:$F, "Food", Data!$K:$K, "Vietnam")</f>
        <v>4533309.6660729861</v>
      </c>
      <c r="D4" s="83">
        <f>SUMIFS(Data!$Y:$Y, Data!$F:$F, "Food", Data!$K:$K, "Kenya")</f>
        <v>104952.87086402318</v>
      </c>
      <c r="E4" s="83">
        <f>C4/'Number of Observations ES'!D4</f>
        <v>21183.690028378438</v>
      </c>
      <c r="F4" s="84">
        <f>D4/'Number of Observations ES'!E4</f>
        <v>1166.1430096002575</v>
      </c>
    </row>
    <row r="5" spans="1:6" x14ac:dyDescent="0.2">
      <c r="A5" s="96" t="s">
        <v>244</v>
      </c>
      <c r="B5" s="83">
        <f>SUMIF(Data!$F:$F,$A5, Data!$Y:$Y)</f>
        <v>761238.7792286966</v>
      </c>
      <c r="C5" s="83">
        <f>SUMIFS(Data!$Y:$Y, Data!$F:$F, $A5, Data!$K:$K, "Vietnam")</f>
        <v>2752.579101947023</v>
      </c>
      <c r="D5" s="83">
        <f>SUMIFS(Data!$Y:$Y, Data!$F:$F, $A5, Data!$K:$K, "Kenya")</f>
        <v>758486.20012674958</v>
      </c>
      <c r="E5" s="83">
        <f>C5/'Number of Observations ES'!D5</f>
        <v>80.9582088807948</v>
      </c>
      <c r="F5" s="84">
        <f>D5/'Number of Observations ES'!E5</f>
        <v>18059.195241113084</v>
      </c>
    </row>
    <row r="6" spans="1:6" x14ac:dyDescent="0.2">
      <c r="A6" s="96" t="s">
        <v>126</v>
      </c>
      <c r="B6" s="83">
        <f>SUMIF(Data!$F:$F,$A6, Data!$Y:$Y)</f>
        <v>449552.40207111329</v>
      </c>
      <c r="C6" s="83">
        <f>SUMIFS(Data!$Y:$Y, Data!$F:$F, $A6, Data!$K:$K, "Vietnam")</f>
        <v>22375.426231842102</v>
      </c>
      <c r="D6" s="83">
        <f>SUMIFS(Data!$Y:$Y, Data!$F:$F, $A6, Data!$K:$K, "Kenya")</f>
        <v>427176.97583927138</v>
      </c>
      <c r="E6" s="83">
        <f>C6/'Number of Observations ES'!D6</f>
        <v>260.17937478886165</v>
      </c>
      <c r="F6" s="84">
        <f>D6/'Number of Observations ES'!E6</f>
        <v>3187.8878793975477</v>
      </c>
    </row>
    <row r="7" spans="1:6" x14ac:dyDescent="0.2">
      <c r="A7" s="96" t="s">
        <v>48</v>
      </c>
      <c r="B7" s="83">
        <f>SUMIF(Data!$F:$F,$A7, Data!$Y:$Y)</f>
        <v>3885.2852127118881</v>
      </c>
      <c r="C7" s="83">
        <f>SUMIFS(Data!$Y:$Y, Data!$F:$F, $A7, Data!$K:$K, "Vietnam")</f>
        <v>3578.4161590997787</v>
      </c>
      <c r="D7" s="83">
        <f>SUMIFS(Data!$Y:$Y, Data!$F:$F, $A7, Data!$K:$K, "Kenya")</f>
        <v>306.86905361210927</v>
      </c>
      <c r="E7" s="83">
        <f>C7/'Number of Observations ES'!D7</f>
        <v>255.60115422141277</v>
      </c>
      <c r="F7" s="84">
        <f>D7/'Number of Observations ES'!E7</f>
        <v>30.686905361210925</v>
      </c>
    </row>
    <row r="8" spans="1:6" x14ac:dyDescent="0.2">
      <c r="A8" s="96" t="s">
        <v>140</v>
      </c>
      <c r="B8" s="83">
        <f>SUMIF(Data!$F:$F,$A8, Data!$Y:$Y)</f>
        <v>241.92821224414806</v>
      </c>
      <c r="C8" s="83">
        <f>SUMIFS(Data!$Y:$Y, Data!$F:$F, $A8, Data!$K:$K, "Vietnam")</f>
        <v>0.24538750207293425</v>
      </c>
      <c r="D8" s="83">
        <f>SUMIFS(Data!$Y:$Y, Data!$F:$F, $A8, Data!$K:$K, "Kenya")</f>
        <v>241.68282474207513</v>
      </c>
      <c r="E8" s="83">
        <f>C8/'Number of Observations ES'!D8</f>
        <v>0.12269375103646712</v>
      </c>
      <c r="F8" s="84">
        <f>D8/'Number of Observations ES'!E8</f>
        <v>26.853647193563901</v>
      </c>
    </row>
    <row r="9" spans="1:6" ht="13.5" thickBot="1" x14ac:dyDescent="0.25">
      <c r="A9" s="97" t="s">
        <v>51</v>
      </c>
      <c r="B9" s="86">
        <f>SUMIF(Data!$F:$F,$A9, Data!$Y:$Y)</f>
        <v>0</v>
      </c>
      <c r="C9" s="86">
        <f>SUMIFS(Data!$Y:$Y, Data!$F:$F, $A9, Data!$K:$K, "Vietnam")</f>
        <v>0</v>
      </c>
      <c r="D9" s="86">
        <f>SUMIFS(Data!$Y:$Y, Data!$F:$F, $A9, Data!$K:$K, "Kenya")</f>
        <v>0</v>
      </c>
      <c r="E9" s="86">
        <f>C9/'Number of Observations ES'!D9</f>
        <v>0</v>
      </c>
      <c r="F9" s="87" t="e">
        <f>D9/'Number of Observations ES'!E9</f>
        <v>#DIV/0!</v>
      </c>
    </row>
    <row r="10" spans="1:6" x14ac:dyDescent="0.2">
      <c r="A10" s="94" t="s">
        <v>2889</v>
      </c>
      <c r="B10" s="89">
        <f>SUMIF(Data!$E:$E,"Regulating", Data!$Y:$Y)</f>
        <v>807009.13399659994</v>
      </c>
      <c r="C10" s="89">
        <f>SUMIFS(Data!$Y:$Y, Data!$E:$E, "Regulating", Data!$K:$K, "Vietnam")</f>
        <v>197157.94457876327</v>
      </c>
      <c r="D10" s="89">
        <f>SUMIFS(Data!$Y:$Y, Data!$E:$E, "Regulating", Data!$K:$K, "Kenya")</f>
        <v>609851.18941783684</v>
      </c>
      <c r="E10" s="89">
        <f>C10/'Number of Observations ES'!D10</f>
        <v>2319.5052303383914</v>
      </c>
      <c r="F10" s="90">
        <f>D10/'Number of Observations ES'!E10</f>
        <v>4177.0629412180606</v>
      </c>
    </row>
    <row r="11" spans="1:6" x14ac:dyDescent="0.2">
      <c r="A11" s="96" t="s">
        <v>62</v>
      </c>
      <c r="B11" s="83">
        <f>SUMIF(Data!$F:$F,$A11, Data!$Y:$Y)</f>
        <v>0</v>
      </c>
      <c r="C11" s="83">
        <f>SUMIFS(Data!$Y:$Y, Data!$F:$F, $A11, Data!$K:$K, "Vietnam")</f>
        <v>0</v>
      </c>
      <c r="D11" s="83">
        <f>SUMIFS(Data!$Y:$Y, Data!$F:$F, $A11, Data!$K:$K, "Kenya")</f>
        <v>0</v>
      </c>
      <c r="E11" s="83" t="e">
        <f>C11/'Number of Observations ES'!D11</f>
        <v>#DIV/0!</v>
      </c>
      <c r="F11" s="84" t="e">
        <f>D11/'Number of Observations ES'!E11</f>
        <v>#DIV/0!</v>
      </c>
    </row>
    <row r="12" spans="1:6" x14ac:dyDescent="0.2">
      <c r="A12" s="96" t="s">
        <v>131</v>
      </c>
      <c r="B12" s="83">
        <f>SUMIF(Data!$F:$F,$A12, Data!$Y:$Y)</f>
        <v>665494.27173918951</v>
      </c>
      <c r="C12" s="83">
        <f>SUMIFS(Data!$Y:$Y, Data!$F:$F, $A12, Data!$K:$K, "Vietnam")</f>
        <v>151901.09999158623</v>
      </c>
      <c r="D12" s="83">
        <f>SUMIFS(Data!$Y:$Y, Data!$F:$F, $A12, Data!$K:$K, "Kenya")</f>
        <v>513593.1717476031</v>
      </c>
      <c r="E12" s="83">
        <f>C12/'Number of Observations ES'!D12</f>
        <v>3894.8999997842625</v>
      </c>
      <c r="F12" s="84">
        <f>D12/'Number of Observations ES'!E12</f>
        <v>9338.057668138239</v>
      </c>
    </row>
    <row r="13" spans="1:6" x14ac:dyDescent="0.2">
      <c r="A13" s="96" t="s">
        <v>155</v>
      </c>
      <c r="B13" s="83">
        <f>SUMIF(Data!$F:$F,$A13, Data!$Y:$Y)</f>
        <v>8245.6800709830713</v>
      </c>
      <c r="C13" s="83">
        <f>SUMIFS(Data!$Y:$Y, Data!$F:$F, $A13, Data!$K:$K, "Vietnam")</f>
        <v>4175.8618833877917</v>
      </c>
      <c r="D13" s="83">
        <f>SUMIFS(Data!$Y:$Y, Data!$F:$F, $A13, Data!$K:$K, "Kenya")</f>
        <v>4069.8181875952796</v>
      </c>
      <c r="E13" s="83">
        <f>C13/'Number of Observations ES'!D13</f>
        <v>596.55169762682738</v>
      </c>
      <c r="F13" s="84">
        <f>D13/'Number of Observations ES'!E13</f>
        <v>406.98181875952798</v>
      </c>
    </row>
    <row r="14" spans="1:6" x14ac:dyDescent="0.2">
      <c r="A14" s="96" t="s">
        <v>40</v>
      </c>
      <c r="B14" s="83">
        <f>SUMIF(Data!$F:$F,$A14, Data!$Y:$Y)</f>
        <v>523.95402968553935</v>
      </c>
      <c r="C14" s="83">
        <f>SUMIFS(Data!$Y:$Y, Data!$F:$F, $A14, Data!$K:$K, "Vietnam")</f>
        <v>0</v>
      </c>
      <c r="D14" s="83">
        <f>SUMIFS(Data!$Y:$Y, Data!$F:$F, $A14, Data!$K:$K, "Kenya")</f>
        <v>523.95402968553935</v>
      </c>
      <c r="E14" s="83" t="e">
        <f>C14/'Number of Observations ES'!D14</f>
        <v>#DIV/0!</v>
      </c>
      <c r="F14" s="84">
        <f>D14/'Number of Observations ES'!E14</f>
        <v>523.95402968553935</v>
      </c>
    </row>
    <row r="15" spans="1:6" x14ac:dyDescent="0.2">
      <c r="A15" s="95" t="s">
        <v>110</v>
      </c>
      <c r="B15" s="83">
        <f>SUMIF(Data!$F:$F,$A15, Data!$Y:$Y)</f>
        <v>4298.3701743033089</v>
      </c>
      <c r="C15" s="83">
        <f>SUMIFS(Data!$Y:$Y, Data!$F:$F, $A15, Data!$K:$K, "Vietnam")</f>
        <v>4298.3701743033089</v>
      </c>
      <c r="D15" s="83">
        <f>SUMIFS(Data!$Y:$Y, Data!$F:$F, $A15, Data!$K:$K, "Kenya")</f>
        <v>0</v>
      </c>
      <c r="E15" s="83">
        <f>C15/'Number of Observations ES'!D15</f>
        <v>537.29627178791361</v>
      </c>
      <c r="F15" s="84" t="e">
        <f>D15/'Number of Observations ES'!E15</f>
        <v>#DIV/0!</v>
      </c>
    </row>
    <row r="16" spans="1:6" x14ac:dyDescent="0.2">
      <c r="A16" s="96" t="s">
        <v>145</v>
      </c>
      <c r="B16" s="83">
        <f>SUMIF(Data!$F:$F,$A16, Data!$Y:$Y)</f>
        <v>46257.423222494719</v>
      </c>
      <c r="C16" s="83">
        <f>SUMIFS(Data!$Y:$Y, Data!$F:$F, $A16, Data!$K:$K, "Vietnam")</f>
        <v>31464.99338651741</v>
      </c>
      <c r="D16" s="83">
        <f>SUMIFS(Data!$Y:$Y, Data!$F:$F, $A16, Data!$K:$K, "Kenya")</f>
        <v>14792.429835977307</v>
      </c>
      <c r="E16" s="83">
        <f>C16/'Number of Observations ES'!D16</f>
        <v>3933.1241733146762</v>
      </c>
      <c r="F16" s="84">
        <f>D16/'Number of Observations ES'!E16</f>
        <v>477.17515599926799</v>
      </c>
    </row>
    <row r="17" spans="1:6" x14ac:dyDescent="0.2">
      <c r="A17" s="96" t="s">
        <v>43</v>
      </c>
      <c r="B17" s="83">
        <f>SUMIF(Data!$F:$F,$A17, Data!$Y:$Y)</f>
        <v>7817.5635250698506</v>
      </c>
      <c r="C17" s="83">
        <f>SUMIFS(Data!$Y:$Y, Data!$F:$F, $A17, Data!$K:$K, "Vietnam")</f>
        <v>5229.253346132411</v>
      </c>
      <c r="D17" s="83">
        <f>SUMIFS(Data!$Y:$Y, Data!$F:$F, $A17, Data!$K:$K, "Kenya")</f>
        <v>2588.3101789374391</v>
      </c>
      <c r="E17" s="83">
        <f>C17/'Number of Observations ES'!D17</f>
        <v>402.25025739480083</v>
      </c>
      <c r="F17" s="84">
        <f>D17/'Number of Observations ES'!E17</f>
        <v>323.53877236717989</v>
      </c>
    </row>
    <row r="18" spans="1:6" x14ac:dyDescent="0.2">
      <c r="A18" s="96" t="s">
        <v>47</v>
      </c>
      <c r="B18" s="83">
        <f>SUMIF(Data!$F:$F,$A18, Data!$Y:$Y)</f>
        <v>73807.090327352897</v>
      </c>
      <c r="C18" s="83">
        <f>SUMIFS(Data!$Y:$Y, Data!$F:$F, $A18, Data!$K:$K, "Vietnam")</f>
        <v>14.264472396500622</v>
      </c>
      <c r="D18" s="83">
        <f>SUMIFS(Data!$Y:$Y, Data!$F:$F, $A18, Data!$K:$K, "Kenya")</f>
        <v>73792.825854956391</v>
      </c>
      <c r="E18" s="83">
        <f>C18/'Number of Observations ES'!D18</f>
        <v>3.5661180991251555</v>
      </c>
      <c r="F18" s="84">
        <f>D18/'Number of Observations ES'!E18</f>
        <v>1892.1237398706767</v>
      </c>
    </row>
    <row r="19" spans="1:6" ht="13.5" thickBot="1" x14ac:dyDescent="0.25">
      <c r="A19" s="97" t="s">
        <v>36</v>
      </c>
      <c r="B19" s="86">
        <f>SUMIF(Data!$F:$F,$A19, Data!$Y:$Y)</f>
        <v>604.4847779765629</v>
      </c>
      <c r="C19" s="86">
        <f>SUMIFS(Data!$Y:$Y, Data!$F:$F, $A19, Data!$K:$K, "Vietnam")</f>
        <v>74.101324439567037</v>
      </c>
      <c r="D19" s="86">
        <f>SUMIFS(Data!$Y:$Y, Data!$F:$F, $A19, Data!$K:$K, "Kenya")</f>
        <v>530.38345353699594</v>
      </c>
      <c r="E19" s="86">
        <f>C19/'Number of Observations ES'!D19</f>
        <v>12.35022073992784</v>
      </c>
      <c r="F19" s="87">
        <f>D19/'Number of Observations ES'!E19</f>
        <v>176.79448451233199</v>
      </c>
    </row>
    <row r="20" spans="1:6" x14ac:dyDescent="0.2">
      <c r="A20" s="94" t="s">
        <v>2890</v>
      </c>
      <c r="B20" s="89">
        <f>SUMIF(Data!$E:$E,"Habitat", Data!$Y:$Y)</f>
        <v>7280.5303217375331</v>
      </c>
      <c r="C20" s="89">
        <f>SUMIFS(Data!$Y:$Y, Data!$E:$E, "Habitat", Data!$K:$K, "Vietnam")</f>
        <v>5915.2111958146297</v>
      </c>
      <c r="D20" s="89">
        <f>SUMIFS(Data!$Y:$Y, Data!$E:$E, "Habitat", Data!$K:$K, "Kenya")</f>
        <v>1365.3191259229022</v>
      </c>
      <c r="E20" s="89">
        <f>C20/'Number of Observations ES'!D20</f>
        <v>128.59154773510065</v>
      </c>
      <c r="F20" s="90">
        <f>D20/'Number of Observations ES'!E20</f>
        <v>136.53191259229021</v>
      </c>
    </row>
    <row r="21" spans="1:6" x14ac:dyDescent="0.2">
      <c r="A21" s="96" t="s">
        <v>2893</v>
      </c>
      <c r="B21" s="83">
        <f>SUMIF(Data!$F:$F,$A21, Data!$Y:$Y)</f>
        <v>1280.3627682300687</v>
      </c>
      <c r="C21" s="83">
        <f>SUMIFS(Data!$Y:$Y, Data!$F:$F, $A21, Data!$K:$K, "Vietnam")</f>
        <v>1065.535616959902</v>
      </c>
      <c r="D21" s="83">
        <f>SUMIFS(Data!$Y:$Y, Data!$F:$F, $A21, Data!$K:$K, "Kenya")</f>
        <v>214.82715127016669</v>
      </c>
      <c r="E21" s="83">
        <f>C21/'Number of Observations ES'!D21</f>
        <v>532.76780847995099</v>
      </c>
      <c r="F21" s="84">
        <f>D21/'Number of Observations ES'!E21</f>
        <v>107.41357563508335</v>
      </c>
    </row>
    <row r="22" spans="1:6" ht="13.5" thickBot="1" x14ac:dyDescent="0.25">
      <c r="A22" s="97" t="s">
        <v>2894</v>
      </c>
      <c r="B22" s="86">
        <f>SUMIF(Data!$F:$F,$A22, Data!$Y:$Y)</f>
        <v>6000.1675535074637</v>
      </c>
      <c r="C22" s="86">
        <f>SUMIFS(Data!$Y:$Y, Data!$F:$F, $A22, Data!$K:$K, "Vietnam")</f>
        <v>4849.675578854728</v>
      </c>
      <c r="D22" s="86">
        <f>SUMIFS(Data!$Y:$Y, Data!$F:$F, $A22, Data!$K:$K, "Kenya")</f>
        <v>1150.4919746527353</v>
      </c>
      <c r="E22" s="86">
        <f>C22/'Number of Observations ES'!D22</f>
        <v>110.21989951942564</v>
      </c>
      <c r="F22" s="87">
        <f>D22/'Number of Observations ES'!E22</f>
        <v>143.81149683159191</v>
      </c>
    </row>
    <row r="23" spans="1:6" x14ac:dyDescent="0.2">
      <c r="A23" s="94" t="s">
        <v>2891</v>
      </c>
      <c r="B23" s="89">
        <f>SUMIF(Data!$E:$E,"Cultural", Data!$Y:$Y)</f>
        <v>21204.77902669126</v>
      </c>
      <c r="C23" s="89">
        <f>SUMIFS(Data!$Y:$Y, Data!$E:$E, "Cultural", Data!$K:$K, "Vietnam")</f>
        <v>12190.270104377096</v>
      </c>
      <c r="D23" s="89">
        <f>SUMIFS(Data!$Y:$Y, Data!$E:$E, "Cultural", Data!$K:$K, "Kenya")</f>
        <v>9014.5089223141804</v>
      </c>
      <c r="E23" s="89">
        <f>C23/'Number of Observations ES'!D23</f>
        <v>677.23722802094971</v>
      </c>
      <c r="F23" s="90">
        <f>D23/'Number of Observations ES'!E23</f>
        <v>191.79806217689745</v>
      </c>
    </row>
    <row r="24" spans="1:6" x14ac:dyDescent="0.2">
      <c r="A24" s="96" t="s">
        <v>54</v>
      </c>
      <c r="B24" s="83">
        <f>SUMIF(Data!$F:$F,$A24, Data!$Y:$Y)</f>
        <v>0</v>
      </c>
      <c r="C24" s="83">
        <f>SUMIFS(Data!$Y:$Y, Data!$F:$F, $A24, Data!$K:$K, "Vietnam")</f>
        <v>0</v>
      </c>
      <c r="D24" s="83">
        <f>SUMIFS(Data!$Y:$Y, Data!$F:$F, $A24, Data!$K:$K, "Kenya")</f>
        <v>0</v>
      </c>
      <c r="E24" s="83" t="e">
        <f>C24/'Number of Observations ES'!D24</f>
        <v>#DIV/0!</v>
      </c>
      <c r="F24" s="84" t="e">
        <f>D24/'Number of Observations ES'!E24</f>
        <v>#DIV/0!</v>
      </c>
    </row>
    <row r="25" spans="1:6" x14ac:dyDescent="0.2">
      <c r="A25" s="96" t="s">
        <v>121</v>
      </c>
      <c r="B25" s="83">
        <f>SUMIF(Data!$F:$F,$A25, Data!$Y:$Y)</f>
        <v>16259.781995109206</v>
      </c>
      <c r="C25" s="83">
        <f>SUMIFS(Data!$Y:$Y, Data!$F:$F, $A25, Data!$K:$K, "Vietnam")</f>
        <v>12177.490071253253</v>
      </c>
      <c r="D25" s="83">
        <f>SUMIFS(Data!$Y:$Y, Data!$F:$F, $A25, Data!$K:$K, "Kenya")</f>
        <v>4082.291923855953</v>
      </c>
      <c r="E25" s="83">
        <f>C25/'Number of Observations ES'!D25</f>
        <v>869.82071937523233</v>
      </c>
      <c r="F25" s="84">
        <f>D25/'Number of Observations ES'!E25</f>
        <v>102.05729809639882</v>
      </c>
    </row>
    <row r="26" spans="1:6" x14ac:dyDescent="0.2">
      <c r="A26" s="96" t="s">
        <v>10</v>
      </c>
      <c r="B26" s="83">
        <f>SUMIF(Data!$F:$F,$A26, Data!$Y:$Y)</f>
        <v>34.05285614725824</v>
      </c>
      <c r="C26" s="83">
        <f>SUMIFS(Data!$Y:$Y, Data!$F:$F, $A26, Data!$K:$K, "Vietnam")</f>
        <v>12.780033123841674</v>
      </c>
      <c r="D26" s="83">
        <f>SUMIFS(Data!$Y:$Y, Data!$F:$F, $A26, Data!$K:$K, "Kenya")</f>
        <v>21.272823023416567</v>
      </c>
      <c r="E26" s="83">
        <f>C26/'Number of Observations ES'!D26</f>
        <v>3.1950082809604186</v>
      </c>
      <c r="F26" s="84">
        <f>D26/'Number of Observations ES'!E26</f>
        <v>10.636411511708284</v>
      </c>
    </row>
    <row r="27" spans="1:6" x14ac:dyDescent="0.2">
      <c r="A27" s="96" t="s">
        <v>9</v>
      </c>
      <c r="B27" s="83">
        <f>SUMIF(Data!$F:$F,$A27, Data!$Y:$Y)</f>
        <v>0</v>
      </c>
      <c r="C27" s="83">
        <f>SUMIFS(Data!$Y:$Y, Data!$F:$F, $A27, Data!$K:$K, "Vietnam")</f>
        <v>0</v>
      </c>
      <c r="D27" s="83">
        <f>SUMIFS(Data!$Y:$Y, Data!$F:$F, $A27, Data!$K:$K, "Kenya")</f>
        <v>0</v>
      </c>
      <c r="E27" s="83" t="e">
        <f>C27/'Number of Observations ES'!D27</f>
        <v>#DIV/0!</v>
      </c>
      <c r="F27" s="84" t="e">
        <f>D27/'Number of Observations ES'!E27</f>
        <v>#DIV/0!</v>
      </c>
    </row>
    <row r="28" spans="1:6" ht="13.5" thickBot="1" x14ac:dyDescent="0.25">
      <c r="A28" s="98" t="s">
        <v>52</v>
      </c>
      <c r="B28" s="86">
        <f>SUMIF(Data!$F:$F,$A28, Data!$Y:$Y)</f>
        <v>4910.9441754348099</v>
      </c>
      <c r="C28" s="86">
        <f>SUMIFS(Data!$Y:$Y, Data!$F:$F, $A28, Data!$K:$K, "Vietnam")</f>
        <v>0</v>
      </c>
      <c r="D28" s="86">
        <f>SUMIFS(Data!$Y:$Y, Data!$F:$F, $A28, Data!$K:$K, "Kenya")</f>
        <v>4910.9441754348099</v>
      </c>
      <c r="E28" s="86" t="e">
        <f>C28/'Number of Observations ES'!D28</f>
        <v>#DIV/0!</v>
      </c>
      <c r="F28" s="87">
        <f>D28/'Number of Observations ES'!E28</f>
        <v>982.18883508696194</v>
      </c>
    </row>
    <row r="29" spans="1:6" x14ac:dyDescent="0.2">
      <c r="A29" s="99" t="s">
        <v>2897</v>
      </c>
      <c r="B29" s="83">
        <f>SUMIF(Data!$E:$E,"Additional and general", Data!$Y:$Y)</f>
        <v>17256440.154530857</v>
      </c>
      <c r="C29" s="83">
        <f>SUMIFS(Data!$Y:$Y, Data!$E:$E, "Additional and general", Data!$K:$K, "Vietnam")</f>
        <v>302291.30440827366</v>
      </c>
      <c r="D29" s="83">
        <f>SUMIFS(Data!$Y:$Y, Data!$E:$E, "Additional and general", Data!$K:$K, "Kenya")</f>
        <v>16954148.85012256</v>
      </c>
      <c r="E29" s="83">
        <f>C29/'Number of Observations ES'!D29</f>
        <v>1045.9906726929885</v>
      </c>
      <c r="F29" s="84">
        <f>D29/'Number of Observations ES'!E29</f>
        <v>57471.69101736461</v>
      </c>
    </row>
    <row r="30" spans="1:6" x14ac:dyDescent="0.2">
      <c r="A30" s="96" t="s">
        <v>29</v>
      </c>
      <c r="B30" s="83">
        <f>SUMIF(Data!$F:$F,$A30, Data!$Y:$Y)</f>
        <v>7134474.9999025771</v>
      </c>
      <c r="C30" s="83">
        <f>SUMIFS(Data!$Y:$Y, Data!$F:$F, $A30, Data!$K:$K, "Vietnam")</f>
        <v>300212.83764225018</v>
      </c>
      <c r="D30" s="83">
        <f>SUMIFS(Data!$Y:$Y, Data!$F:$F, $A30, Data!$K:$K, "Kenya")</f>
        <v>6834262.16226032</v>
      </c>
      <c r="E30" s="83">
        <f>C30/'Number of Observations ES'!D30</f>
        <v>1159.1229252596531</v>
      </c>
      <c r="F30" s="84">
        <f>D30/'Number of Observations ES'!E30</f>
        <v>58412.497113336067</v>
      </c>
    </row>
    <row r="31" spans="1:6" x14ac:dyDescent="0.2">
      <c r="A31" s="96" t="s">
        <v>21</v>
      </c>
      <c r="B31" s="83">
        <f>SUMIF(Data!$F:$F,$A31, Data!$Y:$Y)</f>
        <v>10090604.738749569</v>
      </c>
      <c r="C31" s="83">
        <f>SUMIFS(Data!$Y:$Y, Data!$F:$F, $A31, Data!$K:$K, "Vietnam")</f>
        <v>449.65881403374908</v>
      </c>
      <c r="D31" s="83">
        <f>SUMIFS(Data!$Y:$Y, Data!$F:$F, $A31, Data!$K:$K, "Kenya")</f>
        <v>10090155.079935532</v>
      </c>
      <c r="E31" s="83">
        <f>C31/'Number of Observations ES'!D31</f>
        <v>16.654030149398114</v>
      </c>
      <c r="F31" s="84">
        <f>D31/'Number of Observations ES'!E31</f>
        <v>65097.774709261495</v>
      </c>
    </row>
    <row r="32" spans="1:6" x14ac:dyDescent="0.2">
      <c r="A32" s="96" t="s">
        <v>147</v>
      </c>
      <c r="B32" s="83">
        <f>SUMIF(Data!$F:$F,$A32, Data!$Y:$Y)</f>
        <v>29570.158217532062</v>
      </c>
      <c r="C32" s="83">
        <f>SUMIFS(Data!$Y:$Y, Data!$F:$F, $A32, Data!$K:$K, "Vietnam")</f>
        <v>0</v>
      </c>
      <c r="D32" s="83">
        <f>SUMIFS(Data!$Y:$Y, Data!$F:$F, $A32, Data!$K:$K, "Kenya")</f>
        <v>29570.158217532062</v>
      </c>
      <c r="E32" s="83" t="e">
        <f>C32/'Number of Observations ES'!D32</f>
        <v>#DIV/0!</v>
      </c>
      <c r="F32" s="84">
        <f>D32/'Number of Observations ES'!E32</f>
        <v>3285.57313528134</v>
      </c>
    </row>
    <row r="33" spans="1:6" x14ac:dyDescent="0.2">
      <c r="A33" s="95" t="s">
        <v>108</v>
      </c>
      <c r="B33" s="83">
        <f>SUMIF(Data!$F:$F,$A33, Data!$Y:$Y)</f>
        <v>26.751650922212203</v>
      </c>
      <c r="C33" s="83">
        <f>SUMIFS(Data!$Y:$Y, Data!$F:$F, $A33, Data!$K:$K, "Vietnam")</f>
        <v>0</v>
      </c>
      <c r="D33" s="83">
        <f>SUMIFS(Data!$Y:$Y, Data!$F:$F, $A33, Data!$K:$K, "Kenya")</f>
        <v>26.751650922212203</v>
      </c>
      <c r="E33" s="83" t="e">
        <f>C33/'Number of Observations ES'!D33</f>
        <v>#DIV/0!</v>
      </c>
      <c r="F33" s="84">
        <f>D33/'Number of Observations ES'!E33</f>
        <v>2.6751650922212202</v>
      </c>
    </row>
    <row r="34" spans="1:6" x14ac:dyDescent="0.2">
      <c r="A34" s="96" t="s">
        <v>2959</v>
      </c>
      <c r="B34" s="83">
        <f>SUMIF(Data!$F:$F,$A34, Data!$Y:$Y)</f>
        <v>156.55778310978985</v>
      </c>
      <c r="C34" s="83">
        <f>SUMIFS(Data!$Y:$Y, Data!$F:$F, $A34, Data!$K:$K, "Vietnam")</f>
        <v>142.99111588487312</v>
      </c>
      <c r="D34" s="83">
        <f>SUMIFS(Data!$Y:$Y, Data!$F:$F, $A34, Data!$K:$K, "Kenya")</f>
        <v>13.566667224916763</v>
      </c>
      <c r="E34" s="83">
        <f>C34/'Number of Observations ES'!D34</f>
        <v>71.495557942436562</v>
      </c>
      <c r="F34" s="84">
        <f>D34/'Number of Observations ES'!E34</f>
        <v>6.7833336124583816</v>
      </c>
    </row>
    <row r="35" spans="1:6" x14ac:dyDescent="0.2">
      <c r="A35" s="96" t="s">
        <v>2960</v>
      </c>
      <c r="B35" s="83">
        <f>SUMIF(Data!$F:$F,$A35, Data!$Y:$Y)</f>
        <v>0</v>
      </c>
      <c r="C35" s="83">
        <f>SUMIFS(Data!$Y:$Y, Data!$F:$F, $A35, Data!$K:$K, "Vietnam")</f>
        <v>0</v>
      </c>
      <c r="D35" s="83">
        <f>SUMIFS(Data!$Y:$Y, Data!$F:$F, $A35, Data!$K:$K, "Kenya")</f>
        <v>0</v>
      </c>
      <c r="E35" s="83" t="e">
        <f>C35/'Number of Observations ES'!D35</f>
        <v>#DIV/0!</v>
      </c>
      <c r="F35" s="84" t="e">
        <f>D35/'Number of Observations ES'!E35</f>
        <v>#DIV/0!</v>
      </c>
    </row>
    <row r="36" spans="1:6" x14ac:dyDescent="0.2">
      <c r="A36" s="96" t="s">
        <v>2962</v>
      </c>
      <c r="B36" s="83">
        <f>SUMIF(Data!$F:$F,$A36, Data!$Y:$Y)</f>
        <v>1485.8168361048838</v>
      </c>
      <c r="C36" s="83">
        <f>SUMIFS(Data!$Y:$Y, Data!$F:$F, $A36, Data!$K:$K, "Vietnam")</f>
        <v>1485.8168361048838</v>
      </c>
      <c r="D36" s="83">
        <f>SUMIFS(Data!$Y:$Y, Data!$F:$F, $A36, Data!$K:$K, "Kenya")</f>
        <v>0</v>
      </c>
      <c r="E36" s="83">
        <f>C36/'Number of Observations ES'!D36</f>
        <v>1485.8168361048838</v>
      </c>
      <c r="F36" s="84" t="e">
        <f>D36/'Number of Observations ES'!E36</f>
        <v>#DIV/0!</v>
      </c>
    </row>
    <row r="37" spans="1:6" ht="13.5" thickBot="1" x14ac:dyDescent="0.25">
      <c r="A37" s="97" t="s">
        <v>2185</v>
      </c>
      <c r="B37" s="86">
        <f>SUMIF(Data!$F:$F,$A37, Data!$Y:$Y)</f>
        <v>121.13139102961887</v>
      </c>
      <c r="C37" s="86">
        <f>SUMIFS(Data!$Y:$Y, Data!$F:$F, $A37, Data!$K:$K, "Vietnam")</f>
        <v>0</v>
      </c>
      <c r="D37" s="86">
        <f>SUMIFS(Data!$Y:$Y, Data!$F:$F, $A37, Data!$K:$K, "Kenya")</f>
        <v>121.13139102961887</v>
      </c>
      <c r="E37" s="86" t="e">
        <f>C37/'Number of Observations ES'!D37</f>
        <v>#DIV/0!</v>
      </c>
      <c r="F37" s="87">
        <f>D37/'Number of Observations ES'!E37</f>
        <v>60.565695514809434</v>
      </c>
    </row>
  </sheetData>
  <mergeCells count="2">
    <mergeCell ref="A1:A2"/>
    <mergeCell ref="B1:F1"/>
  </mergeCells>
  <pageMargins left="0.7" right="0.7" top="0.75" bottom="0.75" header="0.3" footer="0.3"/>
  <pageSetup orientation="portrait" r:id="rId1"/>
</worksheet>
</file>

<file path=xl/worksheets/sheet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34B4C9-5FFA-46F4-8FB7-B92155D536B8}">
  <dimension ref="A1:D121"/>
  <sheetViews>
    <sheetView workbookViewId="0">
      <selection activeCell="D72" sqref="D72"/>
    </sheetView>
  </sheetViews>
  <sheetFormatPr defaultColWidth="8.7109375" defaultRowHeight="12.75" x14ac:dyDescent="0.2"/>
  <cols>
    <col min="1" max="1" width="56.42578125" style="32" bestFit="1" customWidth="1"/>
    <col min="2" max="16384" width="8.7109375" style="32"/>
  </cols>
  <sheetData>
    <row r="1" spans="1:4" x14ac:dyDescent="0.2">
      <c r="A1" s="31" t="s">
        <v>2902</v>
      </c>
      <c r="B1" s="31" t="s">
        <v>2892</v>
      </c>
      <c r="C1" s="31" t="s">
        <v>1513</v>
      </c>
      <c r="D1" s="31" t="s">
        <v>129</v>
      </c>
    </row>
    <row r="2" spans="1:4" x14ac:dyDescent="0.2">
      <c r="A2" s="32" t="s">
        <v>154</v>
      </c>
      <c r="B2" s="32">
        <f>COUNTIF(Data!$G:$G,A2 )</f>
        <v>151</v>
      </c>
      <c r="C2" s="32">
        <f>COUNTIFS(Data!$G:$G, A2, Data!$K:$K, "Vietnam")</f>
        <v>119</v>
      </c>
      <c r="D2" s="32">
        <f>COUNTIFS(Data!$G:$G, A2, Data!$K:$K, "Kenya")</f>
        <v>32</v>
      </c>
    </row>
    <row r="3" spans="1:4" x14ac:dyDescent="0.2">
      <c r="A3" s="32" t="s">
        <v>179</v>
      </c>
      <c r="B3" s="32">
        <f>COUNTIF(Data!$G:$G,A3 )</f>
        <v>6</v>
      </c>
      <c r="C3" s="32">
        <f>COUNTIFS(Data!$G:$G, A3, Data!$K:$K, "Vietnam")</f>
        <v>5</v>
      </c>
      <c r="D3" s="32">
        <f>COUNTIFS(Data!$G:$G, A3, Data!$K:$K, "Kenya")</f>
        <v>1</v>
      </c>
    </row>
    <row r="4" spans="1:4" x14ac:dyDescent="0.2">
      <c r="A4" s="32" t="s">
        <v>213</v>
      </c>
      <c r="B4" s="32">
        <f>COUNTIF(Data!$G:$G,A4 )</f>
        <v>2</v>
      </c>
      <c r="C4" s="32">
        <f>COUNTIFS(Data!$G:$G, A4, Data!$K:$K, "Vietnam")</f>
        <v>2</v>
      </c>
      <c r="D4" s="32">
        <f>COUNTIFS(Data!$G:$G, A4, Data!$K:$K, "Kenya")</f>
        <v>0</v>
      </c>
    </row>
    <row r="5" spans="1:4" x14ac:dyDescent="0.2">
      <c r="A5" s="32" t="s">
        <v>117</v>
      </c>
      <c r="B5" s="32">
        <f>COUNTIF(Data!$G:$G,A5 )</f>
        <v>35</v>
      </c>
      <c r="C5" s="32">
        <f>COUNTIFS(Data!$G:$G, A5, Data!$K:$K, "Vietnam")</f>
        <v>11</v>
      </c>
      <c r="D5" s="32">
        <f>COUNTIFS(Data!$G:$G, A5, Data!$K:$K, "Kenya")</f>
        <v>24</v>
      </c>
    </row>
    <row r="6" spans="1:4" x14ac:dyDescent="0.2">
      <c r="A6" s="32" t="s">
        <v>2907</v>
      </c>
      <c r="B6" s="32">
        <f>COUNTIF(Data!$G:$G,A6 )</f>
        <v>32</v>
      </c>
      <c r="C6" s="32">
        <f>COUNTIFS(Data!$G:$G, A6, Data!$K:$K, "Vietnam")</f>
        <v>16</v>
      </c>
      <c r="D6" s="32">
        <f>COUNTIFS(Data!$G:$G, A6, Data!$K:$K, "Kenya")</f>
        <v>16</v>
      </c>
    </row>
    <row r="7" spans="1:4" x14ac:dyDescent="0.2">
      <c r="A7" s="32" t="s">
        <v>1923</v>
      </c>
      <c r="B7" s="32">
        <f>COUNTIF(Data!$G:$G,A7 )</f>
        <v>78</v>
      </c>
      <c r="C7" s="32">
        <f>COUNTIFS(Data!$G:$G, A7, Data!$K:$K, "Vietnam")</f>
        <v>61</v>
      </c>
      <c r="D7" s="32">
        <f>COUNTIFS(Data!$G:$G, A7, Data!$K:$K, "Kenya")</f>
        <v>17</v>
      </c>
    </row>
    <row r="8" spans="1:4" x14ac:dyDescent="0.2">
      <c r="A8" s="31" t="s">
        <v>2958</v>
      </c>
    </row>
    <row r="9" spans="1:4" x14ac:dyDescent="0.2">
      <c r="A9" s="32" t="s">
        <v>246</v>
      </c>
      <c r="B9" s="32">
        <f>COUNTIF(Data!$G:$G,A9 )</f>
        <v>0</v>
      </c>
      <c r="C9" s="32">
        <f>COUNTIFS(Data!$G:$G, A9, Data!$K:$K, "Vietnam")</f>
        <v>0</v>
      </c>
      <c r="D9" s="32">
        <f>COUNTIFS(Data!$G:$G, A9, Data!$K:$K, "Kenya")</f>
        <v>0</v>
      </c>
    </row>
    <row r="10" spans="1:4" x14ac:dyDescent="0.2">
      <c r="A10" s="32" t="s">
        <v>15</v>
      </c>
      <c r="B10" s="32">
        <f>COUNTIF(Data!$G:$G,A10 )</f>
        <v>1</v>
      </c>
      <c r="C10" s="32">
        <f>COUNTIFS(Data!$G:$G, A10, Data!$K:$K, "Vietnam")</f>
        <v>1</v>
      </c>
      <c r="D10" s="32">
        <f>COUNTIFS(Data!$G:$G, A10, Data!$K:$K, "Kenya")</f>
        <v>0</v>
      </c>
    </row>
    <row r="11" spans="1:4" x14ac:dyDescent="0.2">
      <c r="A11" s="32" t="s">
        <v>1102</v>
      </c>
      <c r="B11" s="32">
        <f>COUNTIF(Data!$G:$G,A11 )</f>
        <v>32</v>
      </c>
      <c r="C11" s="32">
        <f>COUNTIFS(Data!$G:$G, A11, Data!$K:$K, "Vietnam")</f>
        <v>8</v>
      </c>
      <c r="D11" s="32">
        <f>COUNTIFS(Data!$G:$G, A11, Data!$K:$K, "Kenya")</f>
        <v>24</v>
      </c>
    </row>
    <row r="12" spans="1:4" x14ac:dyDescent="0.2">
      <c r="A12" s="32" t="s">
        <v>251</v>
      </c>
      <c r="B12" s="32">
        <f>COUNTIF(Data!$G:$G,A12 )</f>
        <v>3</v>
      </c>
      <c r="C12" s="32">
        <f>COUNTIFS(Data!$G:$G, A12, Data!$K:$K, "Vietnam")</f>
        <v>0</v>
      </c>
      <c r="D12" s="32">
        <f>COUNTIFS(Data!$G:$G, A12, Data!$K:$K, "Kenya")</f>
        <v>3</v>
      </c>
    </row>
    <row r="13" spans="1:4" x14ac:dyDescent="0.2">
      <c r="A13" s="32" t="s">
        <v>2908</v>
      </c>
      <c r="B13" s="32">
        <f>COUNTIF(Data!$G:$G,A13 )</f>
        <v>40</v>
      </c>
      <c r="C13" s="32">
        <f>COUNTIFS(Data!$G:$G, A13, Data!$K:$K, "Vietnam")</f>
        <v>25</v>
      </c>
      <c r="D13" s="32">
        <f>COUNTIFS(Data!$G:$G, A13, Data!$K:$K, "Kenya")</f>
        <v>15</v>
      </c>
    </row>
    <row r="14" spans="1:4" x14ac:dyDescent="0.2">
      <c r="A14" s="31" t="s">
        <v>2911</v>
      </c>
    </row>
    <row r="15" spans="1:4" x14ac:dyDescent="0.2">
      <c r="A15" s="32" t="s">
        <v>212</v>
      </c>
      <c r="B15" s="32">
        <f>COUNTIF(Data!$G:$G,A15 )</f>
        <v>2</v>
      </c>
      <c r="C15" s="32">
        <f>COUNTIFS(Data!$G:$G, A15, Data!$K:$K, "Vietnam")</f>
        <v>0</v>
      </c>
      <c r="D15" s="32">
        <f>COUNTIFS(Data!$G:$G, A15, Data!$K:$K, "Kenya")</f>
        <v>2</v>
      </c>
    </row>
    <row r="16" spans="1:4" x14ac:dyDescent="0.2">
      <c r="A16" s="32" t="s">
        <v>152</v>
      </c>
      <c r="B16" s="32">
        <f>COUNTIF(Data!$G:$G,A16 )</f>
        <v>81</v>
      </c>
      <c r="C16" s="32">
        <f>COUNTIFS(Data!$G:$G, A16, Data!$K:$K, "Vietnam")</f>
        <v>63</v>
      </c>
      <c r="D16" s="32">
        <f>COUNTIFS(Data!$G:$G, A16, Data!$K:$K, "Kenya")</f>
        <v>18</v>
      </c>
    </row>
    <row r="17" spans="1:4" x14ac:dyDescent="0.2">
      <c r="A17" s="32" t="s">
        <v>153</v>
      </c>
      <c r="B17" s="32">
        <f>COUNTIF(Data!$G:$G,A17 )</f>
        <v>46</v>
      </c>
      <c r="C17" s="32">
        <f>COUNTIFS(Data!$G:$G, A17, Data!$K:$K, "Vietnam")</f>
        <v>8</v>
      </c>
      <c r="D17" s="32">
        <f>COUNTIFS(Data!$G:$G, A17, Data!$K:$K, "Kenya")</f>
        <v>38</v>
      </c>
    </row>
    <row r="18" spans="1:4" x14ac:dyDescent="0.2">
      <c r="A18" s="32" t="s">
        <v>60</v>
      </c>
      <c r="B18" s="32">
        <f>COUNTIF(Data!$G:$G,A18 )</f>
        <v>24</v>
      </c>
      <c r="C18" s="32">
        <f>COUNTIFS(Data!$G:$G, A18, Data!$K:$K, "Vietnam")</f>
        <v>0</v>
      </c>
      <c r="D18" s="32">
        <f>COUNTIFS(Data!$G:$G, A18, Data!$K:$K, "Kenya")</f>
        <v>24</v>
      </c>
    </row>
    <row r="19" spans="1:4" x14ac:dyDescent="0.2">
      <c r="A19" s="32" t="s">
        <v>934</v>
      </c>
      <c r="B19" s="32">
        <f>COUNTIF(Data!$G:$G,A19 )</f>
        <v>4</v>
      </c>
      <c r="C19" s="32">
        <f>COUNTIFS(Data!$G:$G, A19, Data!$K:$K, "Vietnam")</f>
        <v>0</v>
      </c>
      <c r="D19" s="32">
        <f>COUNTIFS(Data!$G:$G, A19, Data!$K:$K, "Kenya")</f>
        <v>4</v>
      </c>
    </row>
    <row r="20" spans="1:4" x14ac:dyDescent="0.2">
      <c r="A20" s="32" t="s">
        <v>1687</v>
      </c>
      <c r="B20" s="32">
        <f>COUNTIF(Data!$G:$G,A20 )</f>
        <v>43</v>
      </c>
      <c r="C20" s="32">
        <f>COUNTIFS(Data!$G:$G, A20, Data!$K:$K, "Vietnam")</f>
        <v>9</v>
      </c>
      <c r="D20" s="32">
        <f>COUNTIFS(Data!$G:$G, A20, Data!$K:$K, "Kenya")</f>
        <v>34</v>
      </c>
    </row>
    <row r="21" spans="1:4" x14ac:dyDescent="0.2">
      <c r="A21" s="32" t="s">
        <v>2909</v>
      </c>
      <c r="B21" s="32">
        <f>COUNTIF(Data!$G:$G,A21 )</f>
        <v>13</v>
      </c>
      <c r="C21" s="32">
        <f>COUNTIFS(Data!$G:$G, A21, Data!$K:$K, "Vietnam")</f>
        <v>6</v>
      </c>
      <c r="D21" s="32">
        <f>COUNTIFS(Data!$G:$G, A21, Data!$K:$K, "Kenya")</f>
        <v>7</v>
      </c>
    </row>
    <row r="22" spans="1:4" x14ac:dyDescent="0.2">
      <c r="A22" s="32" t="s">
        <v>2910</v>
      </c>
      <c r="B22" s="32">
        <f>COUNTIF(Data!$G:$G,A22 )</f>
        <v>5</v>
      </c>
      <c r="C22" s="32">
        <f>COUNTIFS(Data!$G:$G, A22, Data!$K:$K, "Vietnam")</f>
        <v>0</v>
      </c>
      <c r="D22" s="32">
        <f>COUNTIFS(Data!$G:$G, A22, Data!$K:$K, "Kenya")</f>
        <v>5</v>
      </c>
    </row>
    <row r="23" spans="1:4" x14ac:dyDescent="0.2">
      <c r="A23" s="32" t="s">
        <v>215</v>
      </c>
      <c r="B23" s="32">
        <f>COUNTIF(Data!$G:$G,A23 )</f>
        <v>2</v>
      </c>
      <c r="C23" s="32">
        <f>COUNTIFS(Data!$G:$G, A23, Data!$K:$K, "Vietnam")</f>
        <v>0</v>
      </c>
      <c r="D23" s="32">
        <f>COUNTIFS(Data!$G:$G, A23, Data!$K:$K, "Kenya")</f>
        <v>2</v>
      </c>
    </row>
    <row r="24" spans="1:4" x14ac:dyDescent="0.2">
      <c r="A24" s="31" t="s">
        <v>2912</v>
      </c>
    </row>
    <row r="25" spans="1:4" x14ac:dyDescent="0.2">
      <c r="A25" s="32" t="s">
        <v>1779</v>
      </c>
      <c r="B25" s="32">
        <f>COUNTIF(Data!$G:$G,A25 )</f>
        <v>8</v>
      </c>
      <c r="C25" s="32">
        <f>COUNTIFS(Data!$G:$G, A25, Data!$K:$K, "Vietnam")</f>
        <v>8</v>
      </c>
      <c r="D25" s="32">
        <f>COUNTIFS(Data!$G:$G, A25, Data!$K:$K, "Kenya")</f>
        <v>0</v>
      </c>
    </row>
    <row r="26" spans="1:4" x14ac:dyDescent="0.2">
      <c r="A26" s="32" t="s">
        <v>67</v>
      </c>
      <c r="B26" s="32">
        <f>COUNTIF(Data!$G:$G,A26 )</f>
        <v>8</v>
      </c>
      <c r="C26" s="32">
        <f>COUNTIFS(Data!$G:$G, A26, Data!$K:$K, "Vietnam")</f>
        <v>0</v>
      </c>
      <c r="D26" s="32">
        <f>COUNTIFS(Data!$G:$G, A26, Data!$K:$K, "Kenya")</f>
        <v>8</v>
      </c>
    </row>
    <row r="27" spans="1:4" x14ac:dyDescent="0.2">
      <c r="A27" s="32" t="s">
        <v>2913</v>
      </c>
      <c r="B27" s="32">
        <f>COUNTIF(Data!$G:$G,A27 )</f>
        <v>8</v>
      </c>
      <c r="C27" s="32">
        <f>COUNTIFS(Data!$G:$G, A27, Data!$K:$K, "Vietnam")</f>
        <v>6</v>
      </c>
      <c r="D27" s="32">
        <f>COUNTIFS(Data!$G:$G, A27, Data!$K:$K, "Kenya")</f>
        <v>2</v>
      </c>
    </row>
    <row r="28" spans="1:4" x14ac:dyDescent="0.2">
      <c r="A28" s="31" t="s">
        <v>2914</v>
      </c>
    </row>
    <row r="29" spans="1:4" x14ac:dyDescent="0.2">
      <c r="A29" s="32" t="s">
        <v>14</v>
      </c>
      <c r="B29" s="32">
        <f>COUNTIF(Data!$G:$G,A29 )</f>
        <v>0</v>
      </c>
      <c r="C29" s="32">
        <f>COUNTIFS(Data!$G:$G, A29, Data!$K:$K, "Vietnam")</f>
        <v>0</v>
      </c>
      <c r="D29" s="32">
        <f>COUNTIFS(Data!$G:$G, A29, Data!$K:$K, "Kenya")</f>
        <v>0</v>
      </c>
    </row>
    <row r="30" spans="1:4" x14ac:dyDescent="0.2">
      <c r="A30" s="32" t="s">
        <v>2903</v>
      </c>
      <c r="B30" s="32">
        <f>COUNTIF(Data!$G:$G,A30 )</f>
        <v>0</v>
      </c>
      <c r="C30" s="32">
        <f>COUNTIFS(Data!$G:$G, A30, Data!$K:$K, "Vietnam")</f>
        <v>0</v>
      </c>
      <c r="D30" s="32">
        <f>COUNTIFS(Data!$G:$G, A30, Data!$K:$K, "Kenya")</f>
        <v>0</v>
      </c>
    </row>
    <row r="31" spans="1:4" x14ac:dyDescent="0.2">
      <c r="A31" s="32" t="s">
        <v>2904</v>
      </c>
      <c r="B31" s="32">
        <f>COUNTIF(Data!$G:$G,A31 )</f>
        <v>0</v>
      </c>
      <c r="C31" s="32">
        <f>COUNTIFS(Data!$G:$G, A31, Data!$K:$K, "Vietnam")</f>
        <v>0</v>
      </c>
      <c r="D31" s="32">
        <f>COUNTIFS(Data!$G:$G, A31, Data!$K:$K, "Kenya")</f>
        <v>0</v>
      </c>
    </row>
    <row r="32" spans="1:4" x14ac:dyDescent="0.2">
      <c r="A32" s="32" t="s">
        <v>141</v>
      </c>
      <c r="B32" s="32">
        <f>COUNTIF(Data!$G:$G,A32 )</f>
        <v>0</v>
      </c>
      <c r="C32" s="32">
        <f>COUNTIFS(Data!$G:$G, A32, Data!$K:$K, "Vietnam")</f>
        <v>0</v>
      </c>
      <c r="D32" s="32">
        <f>COUNTIFS(Data!$G:$G, A32, Data!$K:$K, "Kenya")</f>
        <v>0</v>
      </c>
    </row>
    <row r="33" spans="1:4" x14ac:dyDescent="0.2">
      <c r="A33" s="32" t="s">
        <v>2160</v>
      </c>
      <c r="B33" s="32">
        <f>COUNTIF(Data!$G:$G,A33 )</f>
        <v>11</v>
      </c>
      <c r="C33" s="32">
        <f>COUNTIFS(Data!$G:$G, A33, Data!$K:$K, "Vietnam")</f>
        <v>2</v>
      </c>
      <c r="D33" s="32">
        <f>COUNTIFS(Data!$G:$G, A33, Data!$K:$K, "Kenya")</f>
        <v>9</v>
      </c>
    </row>
    <row r="34" spans="1:4" x14ac:dyDescent="0.2">
      <c r="A34" s="31" t="s">
        <v>2915</v>
      </c>
    </row>
    <row r="35" spans="1:4" x14ac:dyDescent="0.2">
      <c r="A35" s="32" t="s">
        <v>2916</v>
      </c>
      <c r="B35" s="32">
        <f>COUNTIF(Data!$G:$G,A35 )</f>
        <v>0</v>
      </c>
      <c r="C35" s="32">
        <f>COUNTIFS(Data!$G:$G, A35, Data!$K:$K, "Vietnam")</f>
        <v>0</v>
      </c>
      <c r="D35" s="32">
        <f>COUNTIFS(Data!$G:$G, A35, Data!$K:$K, "Kenya")</f>
        <v>0</v>
      </c>
    </row>
    <row r="36" spans="1:4" x14ac:dyDescent="0.2">
      <c r="A36" s="32" t="s">
        <v>2905</v>
      </c>
      <c r="B36" s="32">
        <f>COUNTIF(Data!$G:$G,A36 )</f>
        <v>0</v>
      </c>
      <c r="C36" s="32">
        <f>COUNTIFS(Data!$G:$G, A36, Data!$K:$K, "Vietnam")</f>
        <v>0</v>
      </c>
      <c r="D36" s="32">
        <f>COUNTIFS(Data!$G:$G, A36, Data!$K:$K, "Kenya")</f>
        <v>0</v>
      </c>
    </row>
    <row r="37" spans="1:4" x14ac:dyDescent="0.2">
      <c r="A37" s="32" t="s">
        <v>185</v>
      </c>
      <c r="B37" s="32">
        <f>COUNTIF(Data!$G:$G,A37 )</f>
        <v>0</v>
      </c>
      <c r="C37" s="32">
        <f>COUNTIFS(Data!$G:$G, A37, Data!$K:$K, "Vietnam")</f>
        <v>0</v>
      </c>
      <c r="D37" s="32">
        <f>COUNTIFS(Data!$G:$G, A37, Data!$K:$K, "Kenya")</f>
        <v>0</v>
      </c>
    </row>
    <row r="38" spans="1:4" x14ac:dyDescent="0.2">
      <c r="A38" s="32" t="s">
        <v>2917</v>
      </c>
      <c r="B38" s="32">
        <f>COUNTIF(Data!$G:$G,A38 )</f>
        <v>1</v>
      </c>
      <c r="C38" s="32">
        <f>COUNTIFS(Data!$G:$G, A38, Data!$K:$K, "Vietnam")</f>
        <v>1</v>
      </c>
      <c r="D38" s="32">
        <f>COUNTIFS(Data!$G:$G, A38, Data!$K:$K, "Kenya")</f>
        <v>0</v>
      </c>
    </row>
    <row r="39" spans="1:4" x14ac:dyDescent="0.2">
      <c r="A39" s="31" t="s">
        <v>2918</v>
      </c>
    </row>
    <row r="40" spans="1:4" x14ac:dyDescent="0.2">
      <c r="A40" s="32" t="s">
        <v>63</v>
      </c>
      <c r="B40" s="32">
        <f>COUNTIF(Data!$G:$G,A40 )</f>
        <v>0</v>
      </c>
      <c r="C40" s="32">
        <f>COUNTIFS(Data!$G:$G, A40, Data!$K:$K, "Vietnam")</f>
        <v>0</v>
      </c>
      <c r="D40" s="32">
        <f>COUNTIFS(Data!$G:$G, A40, Data!$K:$K, "Kenya")</f>
        <v>0</v>
      </c>
    </row>
    <row r="41" spans="1:4" x14ac:dyDescent="0.2">
      <c r="A41" s="32" t="s">
        <v>2919</v>
      </c>
      <c r="B41" s="32">
        <f>COUNTIF(Data!$G:$G,A41 )</f>
        <v>0</v>
      </c>
      <c r="C41" s="32">
        <f>COUNTIFS(Data!$G:$G, A41, Data!$K:$K, "Vietnam")</f>
        <v>0</v>
      </c>
      <c r="D41" s="32">
        <f>COUNTIFS(Data!$G:$G, A41, Data!$K:$K, "Kenya")</f>
        <v>0</v>
      </c>
    </row>
    <row r="42" spans="1:4" x14ac:dyDescent="0.2">
      <c r="A42" s="32" t="s">
        <v>2906</v>
      </c>
      <c r="B42" s="32">
        <f>COUNTIF(Data!$G:$G,A42 )</f>
        <v>0</v>
      </c>
      <c r="C42" s="32">
        <f>COUNTIFS(Data!$G:$G, A42, Data!$K:$K, "Vietnam")</f>
        <v>0</v>
      </c>
      <c r="D42" s="32">
        <f>COUNTIFS(Data!$G:$G, A42, Data!$K:$K, "Kenya")</f>
        <v>0</v>
      </c>
    </row>
    <row r="43" spans="1:4" x14ac:dyDescent="0.2">
      <c r="A43" s="31" t="s">
        <v>1433</v>
      </c>
    </row>
    <row r="44" spans="1:4" x14ac:dyDescent="0.2">
      <c r="A44" s="32" t="s">
        <v>133</v>
      </c>
      <c r="B44" s="32">
        <f>COUNTIF(Data!$G:$G,A44 )</f>
        <v>77</v>
      </c>
      <c r="C44" s="32">
        <f>COUNTIFS(Data!$G:$G, A44, Data!$K:$K, "Vietnam")</f>
        <v>27</v>
      </c>
      <c r="D44" s="32">
        <f>COUNTIFS(Data!$G:$G, A44, Data!$K:$K, "Kenya")</f>
        <v>50</v>
      </c>
    </row>
    <row r="45" spans="1:4" ht="12.6" customHeight="1" x14ac:dyDescent="0.2">
      <c r="A45" s="32" t="s">
        <v>2920</v>
      </c>
      <c r="B45" s="32">
        <f>COUNTIF(Data!$G:$G,A45 )</f>
        <v>8</v>
      </c>
      <c r="C45" s="32">
        <f>COUNTIFS(Data!$G:$G, A45, Data!$K:$K, "Vietnam")</f>
        <v>6</v>
      </c>
      <c r="D45" s="32">
        <f>COUNTIFS(Data!$G:$G, A45, Data!$K:$K, "Kenya")</f>
        <v>2</v>
      </c>
    </row>
    <row r="46" spans="1:4" x14ac:dyDescent="0.2">
      <c r="A46" s="32" t="s">
        <v>20</v>
      </c>
      <c r="B46" s="32">
        <f>COUNTIF(Data!$G:$G,A46 )</f>
        <v>1</v>
      </c>
      <c r="C46" s="32">
        <f>COUNTIFS(Data!$G:$G, A46, Data!$K:$K, "Vietnam")</f>
        <v>0</v>
      </c>
      <c r="D46" s="32">
        <f>COUNTIFS(Data!$G:$G, A46, Data!$K:$K, "Kenya")</f>
        <v>1</v>
      </c>
    </row>
    <row r="47" spans="1:4" x14ac:dyDescent="0.2">
      <c r="A47" s="32" t="s">
        <v>64</v>
      </c>
      <c r="B47" s="32">
        <f>COUNTIF(Data!$G:$G,A47 )</f>
        <v>8</v>
      </c>
      <c r="C47" s="32">
        <f>COUNTIFS(Data!$G:$G, A47, Data!$K:$K, "Vietnam")</f>
        <v>6</v>
      </c>
      <c r="D47" s="32">
        <f>COUNTIFS(Data!$G:$G, A47, Data!$K:$K, "Kenya")</f>
        <v>2</v>
      </c>
    </row>
    <row r="48" spans="1:4" x14ac:dyDescent="0.2">
      <c r="A48" s="31" t="s">
        <v>2921</v>
      </c>
    </row>
    <row r="49" spans="1:4" x14ac:dyDescent="0.2">
      <c r="A49" s="32" t="s">
        <v>156</v>
      </c>
      <c r="B49" s="32">
        <f>COUNTIF(Data!$G:$G,A49 )</f>
        <v>1</v>
      </c>
      <c r="C49" s="32">
        <f>COUNTIFS(Data!$G:$G, A49, Data!$K:$K, "Vietnam")</f>
        <v>1</v>
      </c>
      <c r="D49" s="32">
        <f>COUNTIFS(Data!$G:$G, A49, Data!$K:$K, "Kenya")</f>
        <v>0</v>
      </c>
    </row>
    <row r="50" spans="1:4" x14ac:dyDescent="0.2">
      <c r="A50" s="32" t="s">
        <v>28</v>
      </c>
      <c r="B50" s="32">
        <f>COUNTIF(Data!$G:$G,A50 )</f>
        <v>14</v>
      </c>
      <c r="C50" s="32">
        <f>COUNTIFS(Data!$G:$G, A50, Data!$K:$K, "Vietnam")</f>
        <v>4</v>
      </c>
      <c r="D50" s="32">
        <f>COUNTIFS(Data!$G:$G, A50, Data!$K:$K, "Kenya")</f>
        <v>10</v>
      </c>
    </row>
    <row r="51" spans="1:4" x14ac:dyDescent="0.2">
      <c r="A51" s="32" t="s">
        <v>2922</v>
      </c>
      <c r="B51" s="32">
        <f>COUNTIF(Data!$G:$G,A51 )</f>
        <v>0</v>
      </c>
      <c r="C51" s="32">
        <f>COUNTIFS(Data!$G:$G, A51, Data!$K:$K, "Vietnam")</f>
        <v>0</v>
      </c>
      <c r="D51" s="32">
        <f>COUNTIFS(Data!$G:$G, A51, Data!$K:$K, "Kenya")</f>
        <v>0</v>
      </c>
    </row>
    <row r="52" spans="1:4" x14ac:dyDescent="0.2">
      <c r="A52" s="32" t="s">
        <v>2923</v>
      </c>
      <c r="B52" s="32">
        <f>COUNTIF(Data!$G:$G,A52 )</f>
        <v>2</v>
      </c>
      <c r="C52" s="32">
        <f>COUNTIFS(Data!$G:$G, A52, Data!$K:$K, "Vietnam")</f>
        <v>2</v>
      </c>
      <c r="D52" s="32">
        <f>COUNTIFS(Data!$G:$G, A52, Data!$K:$K, "Kenya")</f>
        <v>0</v>
      </c>
    </row>
    <row r="53" spans="1:4" x14ac:dyDescent="0.2">
      <c r="A53" s="31" t="s">
        <v>2924</v>
      </c>
    </row>
    <row r="54" spans="1:4" x14ac:dyDescent="0.2">
      <c r="A54" s="32" t="s">
        <v>18</v>
      </c>
      <c r="B54" s="32">
        <f>COUNTIF(Data!$G:$G,A54 )</f>
        <v>1</v>
      </c>
      <c r="C54" s="32">
        <f>COUNTIFS(Data!$G:$G, A54, Data!$K:$K, "Vietnam")</f>
        <v>0</v>
      </c>
      <c r="D54" s="32">
        <f>COUNTIFS(Data!$G:$G, A54, Data!$K:$K, "Kenya")</f>
        <v>1</v>
      </c>
    </row>
    <row r="55" spans="1:4" x14ac:dyDescent="0.2">
      <c r="A55" s="32" t="s">
        <v>17</v>
      </c>
      <c r="B55" s="32">
        <f>COUNTIF(Data!$G:$G,A55 )</f>
        <v>0</v>
      </c>
      <c r="C55" s="32">
        <f>COUNTIFS(Data!$G:$G, A55, Data!$K:$K, "Vietnam")</f>
        <v>0</v>
      </c>
      <c r="D55" s="32">
        <f>COUNTIFS(Data!$G:$G, A55, Data!$K:$K, "Kenya")</f>
        <v>0</v>
      </c>
    </row>
    <row r="56" spans="1:4" x14ac:dyDescent="0.2">
      <c r="A56" s="32" t="s">
        <v>220</v>
      </c>
      <c r="B56" s="32">
        <f>COUNTIF(Data!$G:$G,A56 )</f>
        <v>0</v>
      </c>
      <c r="C56" s="32">
        <f>COUNTIFS(Data!$G:$G, A56, Data!$K:$K, "Vietnam")</f>
        <v>0</v>
      </c>
      <c r="D56" s="32">
        <f>COUNTIFS(Data!$G:$G, A56, Data!$K:$K, "Kenya")</f>
        <v>0</v>
      </c>
    </row>
    <row r="57" spans="1:4" x14ac:dyDescent="0.2">
      <c r="A57" s="32" t="s">
        <v>2925</v>
      </c>
      <c r="B57" s="32">
        <f>COUNTIF(Data!$G:$G,A57 )</f>
        <v>0</v>
      </c>
      <c r="C57" s="32">
        <f>COUNTIFS(Data!$G:$G, A57, Data!$K:$K, "Vietnam")</f>
        <v>0</v>
      </c>
      <c r="D57" s="32">
        <f>COUNTIFS(Data!$G:$G, A57, Data!$K:$K, "Kenya")</f>
        <v>0</v>
      </c>
    </row>
    <row r="58" spans="1:4" x14ac:dyDescent="0.2">
      <c r="A58" s="31" t="s">
        <v>2926</v>
      </c>
    </row>
    <row r="59" spans="1:4" x14ac:dyDescent="0.2">
      <c r="A59" s="32" t="s">
        <v>112</v>
      </c>
      <c r="B59" s="32">
        <f>COUNTIF(Data!$G:$G,A59 )</f>
        <v>2</v>
      </c>
      <c r="C59" s="32">
        <f>COUNTIFS(Data!$G:$G, A59, Data!$K:$K, "Vietnam")</f>
        <v>2</v>
      </c>
      <c r="D59" s="32">
        <f>COUNTIFS(Data!$G:$G, A59, Data!$K:$K, "Kenya")</f>
        <v>0</v>
      </c>
    </row>
    <row r="60" spans="1:4" x14ac:dyDescent="0.2">
      <c r="A60" s="32" t="s">
        <v>65</v>
      </c>
      <c r="B60" s="32">
        <f>COUNTIF(Data!$G:$G,A60 )</f>
        <v>0</v>
      </c>
      <c r="C60" s="32">
        <f>COUNTIFS(Data!$G:$G, A60, Data!$K:$K, "Vietnam")</f>
        <v>0</v>
      </c>
      <c r="D60" s="32">
        <f>COUNTIFS(Data!$G:$G, A60, Data!$K:$K, "Kenya")</f>
        <v>0</v>
      </c>
    </row>
    <row r="61" spans="1:4" x14ac:dyDescent="0.2">
      <c r="A61" s="32" t="s">
        <v>2927</v>
      </c>
      <c r="B61" s="32">
        <f>COUNTIF(Data!$G:$G,A61 )</f>
        <v>0</v>
      </c>
      <c r="C61" s="32">
        <f>COUNTIFS(Data!$G:$G, A61, Data!$K:$K, "Vietnam")</f>
        <v>0</v>
      </c>
      <c r="D61" s="32">
        <f>COUNTIFS(Data!$G:$G, A61, Data!$K:$K, "Kenya")</f>
        <v>0</v>
      </c>
    </row>
    <row r="62" spans="1:4" x14ac:dyDescent="0.2">
      <c r="A62" s="32" t="s">
        <v>2928</v>
      </c>
      <c r="B62" s="32">
        <f>COUNTIF(Data!$G:$G,A62 )</f>
        <v>6</v>
      </c>
      <c r="C62" s="32">
        <f>COUNTIFS(Data!$G:$G, A62, Data!$K:$K, "Vietnam")</f>
        <v>6</v>
      </c>
      <c r="D62" s="32">
        <f>COUNTIFS(Data!$G:$G, A62, Data!$K:$K, "Kenya")</f>
        <v>0</v>
      </c>
    </row>
    <row r="63" spans="1:4" x14ac:dyDescent="0.2">
      <c r="A63" s="31" t="s">
        <v>146</v>
      </c>
    </row>
    <row r="64" spans="1:4" x14ac:dyDescent="0.2">
      <c r="A64" s="32" t="s">
        <v>146</v>
      </c>
      <c r="B64" s="32">
        <f>COUNTIF(Data!$G:$G,A64 )</f>
        <v>39</v>
      </c>
      <c r="C64" s="32">
        <f>COUNTIFS(Data!$G:$G, A64, Data!$K:$K, "Vietnam")</f>
        <v>8</v>
      </c>
      <c r="D64" s="32">
        <f>COUNTIFS(Data!$G:$G, A64, Data!$K:$K, "Kenya")</f>
        <v>31</v>
      </c>
    </row>
    <row r="65" spans="1:4" x14ac:dyDescent="0.2">
      <c r="A65" s="31" t="s">
        <v>2929</v>
      </c>
    </row>
    <row r="66" spans="1:4" x14ac:dyDescent="0.2">
      <c r="A66" s="32" t="s">
        <v>169</v>
      </c>
      <c r="B66" s="32">
        <f>COUNTIF(Data!$G:$G,A66 )</f>
        <v>2</v>
      </c>
      <c r="C66" s="32">
        <f>COUNTIFS(Data!$G:$G, A66, Data!$K:$K, "Vietnam")</f>
        <v>0</v>
      </c>
      <c r="D66" s="32">
        <f>COUNTIFS(Data!$G:$G, A66, Data!$K:$K, "Kenya")</f>
        <v>2</v>
      </c>
    </row>
    <row r="67" spans="1:4" x14ac:dyDescent="0.2">
      <c r="A67" s="32" t="s">
        <v>219</v>
      </c>
      <c r="B67" s="32">
        <f>COUNTIF(Data!$G:$G,A67 )</f>
        <v>0</v>
      </c>
      <c r="C67" s="32">
        <f>COUNTIFS(Data!$G:$G, A67, Data!$K:$K, "Vietnam")</f>
        <v>0</v>
      </c>
      <c r="D67" s="32">
        <f>COUNTIFS(Data!$G:$G, A67, Data!$K:$K, "Kenya")</f>
        <v>0</v>
      </c>
    </row>
    <row r="68" spans="1:4" x14ac:dyDescent="0.2">
      <c r="A68" s="32" t="s">
        <v>46</v>
      </c>
      <c r="B68" s="32">
        <f>COUNTIF(Data!$G:$G,A68 )</f>
        <v>9</v>
      </c>
      <c r="C68" s="32">
        <f>COUNTIFS(Data!$G:$G, A68, Data!$K:$K, "Vietnam")</f>
        <v>7</v>
      </c>
      <c r="D68" s="32">
        <f>COUNTIFS(Data!$G:$G, A68, Data!$K:$K, "Kenya")</f>
        <v>2</v>
      </c>
    </row>
    <row r="69" spans="1:4" x14ac:dyDescent="0.2">
      <c r="A69" s="32" t="s">
        <v>44</v>
      </c>
      <c r="B69" s="32">
        <f>COUNTIF(Data!$G:$G,A69 )</f>
        <v>8</v>
      </c>
      <c r="C69" s="32">
        <f>COUNTIFS(Data!$G:$G, A69, Data!$K:$K, "Vietnam")</f>
        <v>6</v>
      </c>
      <c r="D69" s="32">
        <f>COUNTIFS(Data!$G:$G, A69, Data!$K:$K, "Kenya")</f>
        <v>2</v>
      </c>
    </row>
    <row r="70" spans="1:4" x14ac:dyDescent="0.2">
      <c r="A70" s="32" t="s">
        <v>2930</v>
      </c>
      <c r="B70" s="32">
        <f>COUNTIF(Data!$G:$G,A70 )</f>
        <v>2</v>
      </c>
      <c r="C70" s="32">
        <f>COUNTIFS(Data!$G:$G, A70, Data!$K:$K, "Vietnam")</f>
        <v>0</v>
      </c>
      <c r="D70" s="32">
        <f>COUNTIFS(Data!$G:$G, A70, Data!$K:$K, "Kenya")</f>
        <v>2</v>
      </c>
    </row>
    <row r="71" spans="1:4" x14ac:dyDescent="0.2">
      <c r="A71" s="31" t="s">
        <v>47</v>
      </c>
    </row>
    <row r="72" spans="1:4" x14ac:dyDescent="0.2">
      <c r="A72" s="32" t="s">
        <v>183</v>
      </c>
      <c r="B72" s="32">
        <f>COUNTIF(Data!$G:$G,A72 )</f>
        <v>37</v>
      </c>
      <c r="C72" s="32">
        <f>COUNTIFS(Data!$G:$G, A72, Data!$K:$K, "Vietnam")</f>
        <v>0</v>
      </c>
      <c r="D72" s="32">
        <f>COUNTIFS(Data!$G:$G, A72, Data!$K:$K, "Kenya")</f>
        <v>37</v>
      </c>
    </row>
    <row r="73" spans="1:4" x14ac:dyDescent="0.2">
      <c r="A73" s="32" t="s">
        <v>2931</v>
      </c>
      <c r="B73" s="32">
        <f>COUNTIF(Data!$G:$G,A73 )</f>
        <v>0</v>
      </c>
      <c r="C73" s="32">
        <f>COUNTIFS(Data!$G:$G, A73, Data!$K:$K, "Vietnam")</f>
        <v>0</v>
      </c>
      <c r="D73" s="32">
        <f>COUNTIFS(Data!$G:$G, A73, Data!$K:$K, "Kenya")</f>
        <v>0</v>
      </c>
    </row>
    <row r="74" spans="1:4" x14ac:dyDescent="0.2">
      <c r="A74" s="32" t="s">
        <v>2932</v>
      </c>
      <c r="B74" s="32">
        <f>COUNTIF(Data!$G:$G,A74 )</f>
        <v>6</v>
      </c>
      <c r="C74" s="32">
        <f>COUNTIFS(Data!$G:$G, A74, Data!$K:$K, "Vietnam")</f>
        <v>4</v>
      </c>
      <c r="D74" s="32">
        <f>COUNTIFS(Data!$G:$G, A74, Data!$K:$K, "Kenya")</f>
        <v>2</v>
      </c>
    </row>
    <row r="75" spans="1:4" x14ac:dyDescent="0.2">
      <c r="A75" s="31" t="s">
        <v>2933</v>
      </c>
    </row>
    <row r="76" spans="1:4" x14ac:dyDescent="0.2">
      <c r="A76" s="32" t="s">
        <v>24</v>
      </c>
      <c r="B76" s="32">
        <f>COUNTIF(Data!$G:$G,A76 )</f>
        <v>0</v>
      </c>
      <c r="C76" s="32">
        <f>COUNTIFS(Data!$G:$G, A76, Data!$K:$K, "Vietnam")</f>
        <v>0</v>
      </c>
      <c r="D76" s="32">
        <f>COUNTIFS(Data!$G:$G, A76, Data!$K:$K, "Kenya")</f>
        <v>0</v>
      </c>
    </row>
    <row r="77" spans="1:4" x14ac:dyDescent="0.2">
      <c r="A77" s="32" t="s">
        <v>22</v>
      </c>
      <c r="B77" s="32">
        <f>COUNTIF(Data!$G:$G,A77 )</f>
        <v>1</v>
      </c>
      <c r="C77" s="32">
        <f>COUNTIFS(Data!$G:$G, A77, Data!$K:$K, "Vietnam")</f>
        <v>0</v>
      </c>
      <c r="D77" s="32">
        <f>COUNTIFS(Data!$G:$G, A77, Data!$K:$K, "Kenya")</f>
        <v>1</v>
      </c>
    </row>
    <row r="78" spans="1:4" x14ac:dyDescent="0.2">
      <c r="A78" s="32" t="s">
        <v>23</v>
      </c>
      <c r="B78" s="32">
        <f>COUNTIF(Data!$G:$G,A78 )</f>
        <v>0</v>
      </c>
      <c r="C78" s="32">
        <f>COUNTIFS(Data!$G:$G, A78, Data!$K:$K, "Vietnam")</f>
        <v>0</v>
      </c>
      <c r="D78" s="32">
        <f>COUNTIFS(Data!$G:$G, A78, Data!$K:$K, "Kenya")</f>
        <v>0</v>
      </c>
    </row>
    <row r="79" spans="1:4" x14ac:dyDescent="0.2">
      <c r="A79" s="32" t="s">
        <v>2934</v>
      </c>
      <c r="B79" s="32">
        <f>COUNTIF(Data!$G:$G,A79 )</f>
        <v>8</v>
      </c>
      <c r="C79" s="32">
        <f>COUNTIFS(Data!$G:$G, A79, Data!$K:$K, "Vietnam")</f>
        <v>6</v>
      </c>
      <c r="D79" s="32">
        <f>COUNTIFS(Data!$G:$G, A79, Data!$K:$K, "Kenya")</f>
        <v>2</v>
      </c>
    </row>
    <row r="80" spans="1:4" x14ac:dyDescent="0.2">
      <c r="A80" s="31" t="s">
        <v>2935</v>
      </c>
    </row>
    <row r="81" spans="1:4" x14ac:dyDescent="0.2">
      <c r="A81" s="32" t="s">
        <v>158</v>
      </c>
      <c r="B81" s="32">
        <f>COUNTIF(Data!$G:$G,A81 )</f>
        <v>2</v>
      </c>
      <c r="C81" s="32">
        <f>COUNTIFS(Data!$G:$G, A81, Data!$K:$K, "Vietnam")</f>
        <v>0</v>
      </c>
      <c r="D81" s="32">
        <f>COUNTIFS(Data!$G:$G, A81, Data!$K:$K, "Kenya")</f>
        <v>2</v>
      </c>
    </row>
    <row r="82" spans="1:4" x14ac:dyDescent="0.2">
      <c r="A82" s="32" t="s">
        <v>208</v>
      </c>
      <c r="B82" s="32">
        <f>COUNTIF(Data!$G:$G,A82 )</f>
        <v>2</v>
      </c>
      <c r="C82" s="32">
        <f>COUNTIFS(Data!$G:$G, A82, Data!$K:$K, "Vietnam")</f>
        <v>2</v>
      </c>
      <c r="D82" s="32">
        <f>COUNTIFS(Data!$G:$G, A82, Data!$K:$K, "Kenya")</f>
        <v>0</v>
      </c>
    </row>
    <row r="83" spans="1:4" x14ac:dyDescent="0.2">
      <c r="A83" s="31" t="s">
        <v>2936</v>
      </c>
    </row>
    <row r="84" spans="1:4" x14ac:dyDescent="0.2">
      <c r="A84" s="32" t="s">
        <v>142</v>
      </c>
      <c r="B84" s="32">
        <f>COUNTIF(Data!$G:$G,A84 )</f>
        <v>52</v>
      </c>
      <c r="C84" s="32">
        <f>COUNTIFS(Data!$G:$G, A84, Data!$K:$K, "Vietnam")</f>
        <v>44</v>
      </c>
      <c r="D84" s="32">
        <f>COUNTIFS(Data!$G:$G, A84, Data!$K:$K, "Kenya")</f>
        <v>8</v>
      </c>
    </row>
    <row r="85" spans="1:4" x14ac:dyDescent="0.2">
      <c r="A85" s="31" t="s">
        <v>2937</v>
      </c>
    </row>
    <row r="86" spans="1:4" x14ac:dyDescent="0.2">
      <c r="A86" s="32" t="s">
        <v>55</v>
      </c>
      <c r="B86" s="32">
        <f>COUNTIF(Data!$G:$G,A86 )</f>
        <v>0</v>
      </c>
      <c r="C86" s="32">
        <f>COUNTIFS(Data!$G:$G, A86, Data!$K:$K, "Vietnam")</f>
        <v>0</v>
      </c>
      <c r="D86" s="32">
        <f>COUNTIFS(Data!$G:$G, A86, Data!$K:$K, "Kenya")</f>
        <v>0</v>
      </c>
    </row>
    <row r="87" spans="1:4" x14ac:dyDescent="0.2">
      <c r="A87" s="31" t="s">
        <v>2938</v>
      </c>
    </row>
    <row r="88" spans="1:4" x14ac:dyDescent="0.2">
      <c r="A88" s="32" t="s">
        <v>121</v>
      </c>
      <c r="B88" s="32">
        <f>COUNTIF(Data!$G:$G,A88 )</f>
        <v>10</v>
      </c>
      <c r="C88" s="32">
        <f>COUNTIFS(Data!$G:$G, A88, Data!$K:$K, "Vietnam")</f>
        <v>6</v>
      </c>
      <c r="D88" s="32">
        <f>COUNTIFS(Data!$G:$G, A88, Data!$K:$K, "Kenya")</f>
        <v>4</v>
      </c>
    </row>
    <row r="89" spans="1:4" x14ac:dyDescent="0.2">
      <c r="A89" s="32" t="s">
        <v>123</v>
      </c>
      <c r="B89" s="32">
        <f>COUNTIF(Data!$G:$G,A89 )</f>
        <v>39</v>
      </c>
      <c r="C89" s="32">
        <f>COUNTIFS(Data!$G:$G, A89, Data!$K:$K, "Vietnam")</f>
        <v>8</v>
      </c>
      <c r="D89" s="32">
        <f>COUNTIFS(Data!$G:$G, A89, Data!$K:$K, "Kenya")</f>
        <v>31</v>
      </c>
    </row>
    <row r="90" spans="1:4" x14ac:dyDescent="0.2">
      <c r="A90" s="32" t="s">
        <v>159</v>
      </c>
      <c r="B90" s="32">
        <f>COUNTIF(Data!$G:$G,A90 )</f>
        <v>3</v>
      </c>
      <c r="C90" s="32">
        <f>COUNTIFS(Data!$G:$G, A90, Data!$K:$K, "Vietnam")</f>
        <v>0</v>
      </c>
      <c r="D90" s="32">
        <f>COUNTIFS(Data!$G:$G, A90, Data!$K:$K, "Kenya")</f>
        <v>3</v>
      </c>
    </row>
    <row r="91" spans="1:4" x14ac:dyDescent="0.2">
      <c r="A91" s="32" t="s">
        <v>2939</v>
      </c>
      <c r="B91" s="32">
        <f>COUNTIF(Data!$G:$G,A91 )</f>
        <v>2</v>
      </c>
      <c r="C91" s="32">
        <f>COUNTIFS(Data!$G:$G, A91, Data!$K:$K, "Vietnam")</f>
        <v>0</v>
      </c>
      <c r="D91" s="32">
        <f>COUNTIFS(Data!$G:$G, A91, Data!$K:$K, "Kenya")</f>
        <v>2</v>
      </c>
    </row>
    <row r="92" spans="1:4" x14ac:dyDescent="0.2">
      <c r="A92" s="31" t="s">
        <v>2940</v>
      </c>
    </row>
    <row r="93" spans="1:4" x14ac:dyDescent="0.2">
      <c r="A93" s="32" t="s">
        <v>11</v>
      </c>
      <c r="B93" s="32">
        <f>COUNTIF(Data!$G:$G,A93 )</f>
        <v>0</v>
      </c>
      <c r="C93" s="32">
        <f>COUNTIFS(Data!$G:$G, A93, Data!$K:$K, "Vietnam")</f>
        <v>0</v>
      </c>
      <c r="D93" s="32">
        <f>COUNTIFS(Data!$G:$G, A93, Data!$K:$K, "Kenya")</f>
        <v>0</v>
      </c>
    </row>
    <row r="94" spans="1:4" x14ac:dyDescent="0.2">
      <c r="A94" s="32" t="s">
        <v>19</v>
      </c>
      <c r="B94" s="32">
        <f>COUNTIF(Data!$G:$G,A94 )</f>
        <v>6</v>
      </c>
      <c r="C94" s="32">
        <f>COUNTIFS(Data!$G:$G, A94, Data!$K:$K, "Vietnam")</f>
        <v>4</v>
      </c>
      <c r="D94" s="32">
        <f>COUNTIFS(Data!$G:$G, A94, Data!$K:$K, "Kenya")</f>
        <v>2</v>
      </c>
    </row>
    <row r="95" spans="1:4" x14ac:dyDescent="0.2">
      <c r="A95" s="32" t="s">
        <v>2941</v>
      </c>
      <c r="B95" s="32">
        <f>COUNTIF(Data!$G:$G,A95 )</f>
        <v>0</v>
      </c>
      <c r="C95" s="32">
        <f>COUNTIFS(Data!$G:$G, A95, Data!$K:$K, "Vietnam")</f>
        <v>0</v>
      </c>
      <c r="D95" s="32">
        <f>COUNTIFS(Data!$G:$G, A95, Data!$K:$K, "Kenya")</f>
        <v>0</v>
      </c>
    </row>
    <row r="96" spans="1:4" x14ac:dyDescent="0.2">
      <c r="A96" s="31" t="s">
        <v>2942</v>
      </c>
    </row>
    <row r="97" spans="1:4" x14ac:dyDescent="0.2">
      <c r="A97" s="32" t="s">
        <v>13</v>
      </c>
      <c r="B97" s="32">
        <f>COUNTIF(Data!$G:$G,A97 )</f>
        <v>0</v>
      </c>
      <c r="C97" s="32">
        <f>COUNTIFS(Data!$G:$G, A97, Data!$K:$K, "Vietnam")</f>
        <v>0</v>
      </c>
      <c r="D97" s="32">
        <f>COUNTIFS(Data!$G:$G, A97, Data!$K:$K, "Kenya")</f>
        <v>0</v>
      </c>
    </row>
    <row r="98" spans="1:4" x14ac:dyDescent="0.2">
      <c r="A98" s="31" t="s">
        <v>2943</v>
      </c>
    </row>
    <row r="99" spans="1:4" x14ac:dyDescent="0.2">
      <c r="A99" s="32" t="s">
        <v>57</v>
      </c>
      <c r="B99" s="32">
        <f>COUNTIF(Data!$G:$G,A99 )</f>
        <v>3</v>
      </c>
      <c r="C99" s="32">
        <f>COUNTIFS(Data!$G:$G, A99, Data!$K:$K, "Vietnam")</f>
        <v>0</v>
      </c>
      <c r="D99" s="32">
        <f>COUNTIFS(Data!$G:$G, A99, Data!$K:$K, "Kenya")</f>
        <v>3</v>
      </c>
    </row>
    <row r="100" spans="1:4" x14ac:dyDescent="0.2">
      <c r="A100" s="32" t="s">
        <v>53</v>
      </c>
      <c r="B100" s="32">
        <f>COUNTIF(Data!$G:$G,A100 )</f>
        <v>2</v>
      </c>
      <c r="C100" s="32">
        <f>COUNTIFS(Data!$G:$G, A100, Data!$K:$K, "Vietnam")</f>
        <v>0</v>
      </c>
      <c r="D100" s="32">
        <f>COUNTIFS(Data!$G:$G, A100, Data!$K:$K, "Kenya")</f>
        <v>2</v>
      </c>
    </row>
    <row r="101" spans="1:4" x14ac:dyDescent="0.2">
      <c r="A101" s="32" t="s">
        <v>2944</v>
      </c>
      <c r="B101" s="32">
        <f>COUNTIF(Data!$G:$G,A101 )</f>
        <v>0</v>
      </c>
      <c r="C101" s="32">
        <f>COUNTIFS(Data!$G:$G, A101, Data!$K:$K, "Vietnam")</f>
        <v>0</v>
      </c>
      <c r="D101" s="32">
        <f>COUNTIFS(Data!$G:$G, A101, Data!$K:$K, "Kenya")</f>
        <v>0</v>
      </c>
    </row>
    <row r="102" spans="1:4" x14ac:dyDescent="0.2">
      <c r="A102" s="31" t="s">
        <v>2945</v>
      </c>
      <c r="B102" s="31"/>
      <c r="C102" s="31"/>
      <c r="D102" s="31"/>
    </row>
    <row r="103" spans="1:4" x14ac:dyDescent="0.2">
      <c r="A103" s="32" t="s">
        <v>29</v>
      </c>
      <c r="B103" s="32">
        <f>COUNTIF(Data!$G:$G,A103 )</f>
        <v>376</v>
      </c>
      <c r="C103" s="32">
        <f>COUNTIFS(Data!$G:$G, A103, Data!$K:$K, "Vietnam")</f>
        <v>259</v>
      </c>
      <c r="D103" s="32">
        <f>COUNTIFS(Data!$G:$G, A103, Data!$K:$K, "Kenya")</f>
        <v>117</v>
      </c>
    </row>
    <row r="104" spans="1:4" x14ac:dyDescent="0.2">
      <c r="A104" s="31" t="s">
        <v>2946</v>
      </c>
      <c r="B104" s="31"/>
      <c r="C104" s="31"/>
      <c r="D104" s="31"/>
    </row>
    <row r="105" spans="1:4" x14ac:dyDescent="0.2">
      <c r="A105" s="32" t="s">
        <v>163</v>
      </c>
      <c r="B105" s="32">
        <f>COUNTIF(Data!$G:$G,A105 )</f>
        <v>182</v>
      </c>
      <c r="C105" s="32">
        <f>COUNTIFS(Data!$G:$G, A105, Data!$K:$K, "Vietnam")</f>
        <v>27</v>
      </c>
      <c r="D105" s="32">
        <f>COUNTIFS(Data!$G:$G, A105, Data!$K:$K, "Kenya")</f>
        <v>155</v>
      </c>
    </row>
    <row r="106" spans="1:4" x14ac:dyDescent="0.2">
      <c r="A106" s="31" t="s">
        <v>134</v>
      </c>
      <c r="B106" s="31"/>
      <c r="C106" s="31"/>
      <c r="D106" s="31"/>
    </row>
    <row r="107" spans="1:4" x14ac:dyDescent="0.2">
      <c r="A107" s="32" t="s">
        <v>147</v>
      </c>
      <c r="B107" s="32">
        <f>COUNTIF(Data!$G:$G,A107 )</f>
        <v>9</v>
      </c>
      <c r="C107" s="32">
        <f>COUNTIFS(Data!$G:$G, A107, Data!$K:$K, "Vietnam")</f>
        <v>0</v>
      </c>
      <c r="D107" s="32">
        <f>COUNTIFS(Data!$G:$G, A107, Data!$K:$K, "Kenya")</f>
        <v>9</v>
      </c>
    </row>
    <row r="108" spans="1:4" x14ac:dyDescent="0.2">
      <c r="A108" s="31" t="s">
        <v>2947</v>
      </c>
      <c r="B108" s="31"/>
      <c r="C108" s="31"/>
      <c r="D108" s="31"/>
    </row>
    <row r="109" spans="1:4" x14ac:dyDescent="0.2">
      <c r="A109" s="32" t="s">
        <v>109</v>
      </c>
      <c r="B109" s="32">
        <f>COUNTIF(Data!$G:$G,A109 )</f>
        <v>8</v>
      </c>
      <c r="C109" s="32">
        <f>COUNTIFS(Data!$G:$G, A109, Data!$K:$K, "Vietnam")</f>
        <v>0</v>
      </c>
      <c r="D109" s="32">
        <f>COUNTIFS(Data!$G:$G, A109, Data!$K:$K, "Kenya")</f>
        <v>8</v>
      </c>
    </row>
    <row r="110" spans="1:4" x14ac:dyDescent="0.2">
      <c r="A110" s="32" t="s">
        <v>2948</v>
      </c>
      <c r="B110" s="32">
        <f>COUNTIF(Data!$G:$G,A110 )</f>
        <v>2</v>
      </c>
      <c r="C110" s="32">
        <f>COUNTIFS(Data!$G:$G, A110, Data!$K:$K, "Vietnam")</f>
        <v>0</v>
      </c>
      <c r="D110" s="32">
        <f>COUNTIFS(Data!$G:$G, A110, Data!$K:$K, "Kenya")</f>
        <v>2</v>
      </c>
    </row>
    <row r="111" spans="1:4" x14ac:dyDescent="0.2">
      <c r="A111" s="32" t="s">
        <v>2949</v>
      </c>
      <c r="B111" s="32">
        <f>COUNTIF(Data!$G:$G,A111 )</f>
        <v>0</v>
      </c>
      <c r="C111" s="32">
        <f>COUNTIFS(Data!$G:$G, A111, Data!$K:$K, "Vietnam")</f>
        <v>0</v>
      </c>
      <c r="D111" s="32">
        <f>COUNTIFS(Data!$G:$G, A111, Data!$K:$K, "Kenya")</f>
        <v>0</v>
      </c>
    </row>
    <row r="112" spans="1:4" x14ac:dyDescent="0.2">
      <c r="A112" s="32" t="s">
        <v>2950</v>
      </c>
      <c r="B112" s="32">
        <f>COUNTIF(Data!$G:$G,A112 )</f>
        <v>0</v>
      </c>
      <c r="C112" s="32">
        <f>COUNTIFS(Data!$G:$G, A112, Data!$K:$K, "Vietnam")</f>
        <v>0</v>
      </c>
      <c r="D112" s="32">
        <f>COUNTIFS(Data!$G:$G, A112, Data!$K:$K, "Kenya")</f>
        <v>0</v>
      </c>
    </row>
    <row r="113" spans="1:4" x14ac:dyDescent="0.2">
      <c r="A113" s="32" t="s">
        <v>2951</v>
      </c>
      <c r="B113" s="32">
        <f>COUNTIF(Data!$G:$G,A113 )</f>
        <v>0</v>
      </c>
      <c r="C113" s="32">
        <f>COUNTIFS(Data!$G:$G, A113, Data!$K:$K, "Vietnam")</f>
        <v>0</v>
      </c>
      <c r="D113" s="32">
        <f>COUNTIFS(Data!$G:$G, A113, Data!$K:$K, "Kenya")</f>
        <v>0</v>
      </c>
    </row>
    <row r="114" spans="1:4" x14ac:dyDescent="0.2">
      <c r="A114" s="31" t="s">
        <v>2952</v>
      </c>
      <c r="B114" s="31"/>
      <c r="C114" s="31"/>
      <c r="D114" s="31"/>
    </row>
    <row r="115" spans="1:4" x14ac:dyDescent="0.2">
      <c r="A115" s="32" t="s">
        <v>2895</v>
      </c>
      <c r="B115" s="32">
        <f>COUNTIF(Data!$G:$G,A115 )</f>
        <v>4</v>
      </c>
      <c r="C115" s="32">
        <f>COUNTIFS(Data!$G:$G, A115, Data!$K:$K, "Vietnam")</f>
        <v>2</v>
      </c>
      <c r="D115" s="32">
        <f>COUNTIFS(Data!$G:$G, A115, Data!$K:$K, "Kenya")</f>
        <v>2</v>
      </c>
    </row>
    <row r="116" spans="1:4" x14ac:dyDescent="0.2">
      <c r="A116" s="31" t="s">
        <v>2953</v>
      </c>
      <c r="B116" s="31"/>
      <c r="C116" s="31"/>
      <c r="D116" s="31"/>
    </row>
    <row r="117" spans="1:4" x14ac:dyDescent="0.2">
      <c r="A117" s="32" t="s">
        <v>2896</v>
      </c>
      <c r="B117" s="32">
        <f>COUNTIF(Data!$G:$G,A117 )</f>
        <v>0</v>
      </c>
      <c r="C117" s="32">
        <f>COUNTIFS(Data!$G:$G, A117, Data!$K:$K, "Vietnam")</f>
        <v>0</v>
      </c>
      <c r="D117" s="32">
        <f>COUNTIFS(Data!$G:$G, A117, Data!$K:$K, "Kenya")</f>
        <v>0</v>
      </c>
    </row>
    <row r="118" spans="1:4" x14ac:dyDescent="0.2">
      <c r="A118" s="31" t="s">
        <v>2954</v>
      </c>
      <c r="B118" s="31"/>
      <c r="C118" s="31"/>
      <c r="D118" s="31"/>
    </row>
    <row r="119" spans="1:4" x14ac:dyDescent="0.2">
      <c r="A119" s="32" t="s">
        <v>2955</v>
      </c>
      <c r="B119" s="32">
        <f>COUNTIF(Data!$G:$G,A119 )</f>
        <v>1</v>
      </c>
      <c r="C119" s="32">
        <f>COUNTIFS(Data!$G:$G, A119, Data!$K:$K, "Vietnam")</f>
        <v>1</v>
      </c>
      <c r="D119" s="32">
        <f>COUNTIFS(Data!$G:$G, A119, Data!$K:$K, "Kenya")</f>
        <v>0</v>
      </c>
    </row>
    <row r="120" spans="1:4" x14ac:dyDescent="0.2">
      <c r="A120" s="31" t="s">
        <v>2956</v>
      </c>
      <c r="B120" s="31"/>
      <c r="C120" s="31"/>
      <c r="D120" s="31"/>
    </row>
    <row r="121" spans="1:4" x14ac:dyDescent="0.2">
      <c r="A121" s="32" t="s">
        <v>2957</v>
      </c>
      <c r="B121" s="32">
        <f>COUNTIF(Data!$G:$G,A121 )</f>
        <v>2</v>
      </c>
      <c r="C121" s="32">
        <f>COUNTIFS(Data!$G:$G, A121, Data!$K:$K, "Vietnam")</f>
        <v>0</v>
      </c>
      <c r="D121" s="32">
        <f>COUNTIFS(Data!$G:$G, A121, Data!$K:$K, "Kenya")</f>
        <v>2</v>
      </c>
    </row>
  </sheetData>
  <pageMargins left="0.7" right="0.7" top="0.75" bottom="0.75" header="0.3" footer="0.3"/>
</worksheet>
</file>

<file path=xl/worksheets/sheet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BDC0C5-350E-415C-B869-9FC66A65B940}">
  <dimension ref="A1:E37"/>
  <sheetViews>
    <sheetView workbookViewId="0">
      <selection activeCell="C3" sqref="C3:E37"/>
    </sheetView>
  </sheetViews>
  <sheetFormatPr defaultColWidth="8.7109375" defaultRowHeight="12.75" x14ac:dyDescent="0.2"/>
  <cols>
    <col min="1" max="16384" width="8.7109375" style="32"/>
  </cols>
  <sheetData>
    <row r="1" spans="1:5" x14ac:dyDescent="0.2">
      <c r="A1" s="32" t="s">
        <v>2899</v>
      </c>
      <c r="C1" s="32" t="s">
        <v>2898</v>
      </c>
    </row>
    <row r="2" spans="1:5" x14ac:dyDescent="0.2">
      <c r="C2" s="32" t="s">
        <v>2900</v>
      </c>
      <c r="D2" s="32" t="s">
        <v>1513</v>
      </c>
      <c r="E2" s="32" t="s">
        <v>129</v>
      </c>
    </row>
    <row r="3" spans="1:5" x14ac:dyDescent="0.2">
      <c r="A3" s="70" t="s">
        <v>2888</v>
      </c>
      <c r="B3" s="70"/>
      <c r="C3" s="32">
        <f>COUNTIF(Data!$E:$E, "Provisioning")</f>
        <v>637</v>
      </c>
      <c r="D3" s="32">
        <f>COUNTIFS(Data!$E:$E, "Provisioning", Data!$K:$K, "Vietnam")</f>
        <v>351</v>
      </c>
      <c r="E3" s="32">
        <f>COUNTIFS(Data!$E:$E, "Provisioning", Data!$K:$K, "Kenya")</f>
        <v>286</v>
      </c>
    </row>
    <row r="4" spans="1:5" ht="15" x14ac:dyDescent="0.25">
      <c r="A4" s="70">
        <v>1</v>
      </c>
      <c r="B4" s="71" t="s">
        <v>237</v>
      </c>
      <c r="C4" s="32">
        <f>COUNTIF(Data!$F:$F,B4 )</f>
        <v>304</v>
      </c>
      <c r="D4" s="32">
        <f>COUNTIFS(Data!$F:$F, "Food", Data!$K:$K, "Vietnam")</f>
        <v>214</v>
      </c>
      <c r="E4" s="32">
        <f>COUNTIFS(Data!$F:$F, "Food", Data!$K:$K, "Kenya")</f>
        <v>90</v>
      </c>
    </row>
    <row r="5" spans="1:5" x14ac:dyDescent="0.2">
      <c r="A5" s="70">
        <v>2</v>
      </c>
      <c r="B5" s="70" t="s">
        <v>244</v>
      </c>
      <c r="C5" s="32">
        <f>COUNTIF(Data!$F:$F,B5 )</f>
        <v>76</v>
      </c>
      <c r="D5" s="32">
        <f>COUNTIFS(Data!$F:$F,B5, Data!$K:$K, "Vietnam")</f>
        <v>34</v>
      </c>
      <c r="E5" s="32">
        <f>COUNTIFS(Data!$F:$F,B5, Data!$K:$K, "Kenya")</f>
        <v>42</v>
      </c>
    </row>
    <row r="6" spans="1:5" x14ac:dyDescent="0.2">
      <c r="A6" s="70">
        <v>3</v>
      </c>
      <c r="B6" s="70" t="s">
        <v>126</v>
      </c>
      <c r="C6" s="32">
        <f>COUNTIF(Data!$F:$F,B6 )</f>
        <v>220</v>
      </c>
      <c r="D6" s="32">
        <f>COUNTIFS(Data!$F:$F,B6, Data!$K:$K, "Vietnam")</f>
        <v>86</v>
      </c>
      <c r="E6" s="32">
        <f>COUNTIFS(Data!$F:$F,B6, Data!$K:$K, "Kenya")</f>
        <v>134</v>
      </c>
    </row>
    <row r="7" spans="1:5" x14ac:dyDescent="0.2">
      <c r="A7" s="70">
        <v>4</v>
      </c>
      <c r="B7" s="70" t="s">
        <v>48</v>
      </c>
      <c r="C7" s="32">
        <f>COUNTIF(Data!$F:$F,B7 )</f>
        <v>24</v>
      </c>
      <c r="D7" s="32">
        <f>COUNTIFS(Data!$F:$F,B7, Data!$K:$K, "Vietnam")</f>
        <v>14</v>
      </c>
      <c r="E7" s="32">
        <f>COUNTIFS(Data!$F:$F,B7, Data!$K:$K, "Kenya")</f>
        <v>10</v>
      </c>
    </row>
    <row r="8" spans="1:5" x14ac:dyDescent="0.2">
      <c r="A8" s="70">
        <v>5</v>
      </c>
      <c r="B8" s="70" t="s">
        <v>140</v>
      </c>
      <c r="C8" s="32">
        <f>COUNTIF(Data!$F:$F,B8 )</f>
        <v>11</v>
      </c>
      <c r="D8" s="32">
        <f>COUNTIFS(Data!$F:$F,B8, Data!$K:$K, "Vietnam")</f>
        <v>2</v>
      </c>
      <c r="E8" s="32">
        <f>COUNTIFS(Data!$F:$F,B8, Data!$K:$K, "Kenya")</f>
        <v>9</v>
      </c>
    </row>
    <row r="9" spans="1:5" x14ac:dyDescent="0.2">
      <c r="A9" s="70">
        <v>6</v>
      </c>
      <c r="B9" s="70" t="s">
        <v>51</v>
      </c>
      <c r="C9" s="32">
        <f>COUNTIF(Data!$F:$F,B9 )</f>
        <v>1</v>
      </c>
      <c r="D9" s="32">
        <f>COUNTIFS(Data!$F:$F,B9, Data!$K:$K, "Vietnam")</f>
        <v>1</v>
      </c>
      <c r="E9" s="32">
        <f>COUNTIFS(Data!$F:$F,B9, Data!$K:$K, "Kenya")</f>
        <v>0</v>
      </c>
    </row>
    <row r="10" spans="1:5" x14ac:dyDescent="0.2">
      <c r="A10" s="70" t="s">
        <v>2889</v>
      </c>
      <c r="B10" s="70"/>
      <c r="C10" s="32">
        <f>COUNTIF(Data!$E:$E, "Regulating")</f>
        <v>231</v>
      </c>
      <c r="D10" s="32">
        <f>COUNTIFS(Data!$E:$E, "Regulating", Data!$K:$K, "Vietnam")</f>
        <v>85</v>
      </c>
      <c r="E10" s="32">
        <f>COUNTIFS(Data!$E:$E, "Regulating", Data!$K:$K, "Kenya")</f>
        <v>146</v>
      </c>
    </row>
    <row r="11" spans="1:5" x14ac:dyDescent="0.2">
      <c r="A11" s="70">
        <v>7</v>
      </c>
      <c r="B11" s="70" t="s">
        <v>62</v>
      </c>
      <c r="C11" s="32">
        <f>COUNTIF(Data!$F:$F,B11 )</f>
        <v>0</v>
      </c>
      <c r="D11" s="32">
        <f>COUNTIFS(Data!$F:$F,B11, Data!$K:$K, "Vietnam")</f>
        <v>0</v>
      </c>
      <c r="E11" s="32">
        <f>COUNTIFS(Data!$F:$F,B11, Data!$K:$K, "Kenya")</f>
        <v>0</v>
      </c>
    </row>
    <row r="12" spans="1:5" x14ac:dyDescent="0.2">
      <c r="A12" s="70">
        <v>8</v>
      </c>
      <c r="B12" s="70" t="s">
        <v>131</v>
      </c>
      <c r="C12" s="32">
        <f>COUNTIF(Data!$F:$F,B12 )</f>
        <v>94</v>
      </c>
      <c r="D12" s="32">
        <f>COUNTIFS(Data!$F:$F,B12, Data!$K:$K, "Vietnam")</f>
        <v>39</v>
      </c>
      <c r="E12" s="32">
        <f>COUNTIFS(Data!$F:$F,B12, Data!$K:$K, "Kenya")</f>
        <v>55</v>
      </c>
    </row>
    <row r="13" spans="1:5" x14ac:dyDescent="0.2">
      <c r="A13" s="70">
        <v>9</v>
      </c>
      <c r="B13" s="70" t="s">
        <v>155</v>
      </c>
      <c r="C13" s="32">
        <f>COUNTIF(Data!$F:$F,B13 )</f>
        <v>17</v>
      </c>
      <c r="D13" s="32">
        <f>COUNTIFS(Data!$F:$F,B13, Data!$K:$K, "Vietnam")</f>
        <v>7</v>
      </c>
      <c r="E13" s="32">
        <f>COUNTIFS(Data!$F:$F,B13, Data!$K:$K, "Kenya")</f>
        <v>10</v>
      </c>
    </row>
    <row r="14" spans="1:5" x14ac:dyDescent="0.2">
      <c r="A14" s="70">
        <v>10</v>
      </c>
      <c r="B14" s="70" t="s">
        <v>40</v>
      </c>
      <c r="C14" s="32">
        <f>COUNTIF(Data!$F:$F,B14 )</f>
        <v>1</v>
      </c>
      <c r="D14" s="32">
        <f>COUNTIFS(Data!$F:$F,B14, Data!$K:$K, "Vietnam")</f>
        <v>0</v>
      </c>
      <c r="E14" s="32">
        <f>COUNTIFS(Data!$F:$F,B14, Data!$K:$K, "Kenya")</f>
        <v>1</v>
      </c>
    </row>
    <row r="15" spans="1:5" ht="15" x14ac:dyDescent="0.25">
      <c r="A15" s="70">
        <v>11</v>
      </c>
      <c r="B15" s="71" t="s">
        <v>110</v>
      </c>
      <c r="C15" s="32">
        <f>COUNTIF(Data!$F:$F,B15 )</f>
        <v>8</v>
      </c>
      <c r="D15" s="32">
        <f>COUNTIFS(Data!$F:$F,B15, Data!$K:$K, "Vietnam")</f>
        <v>8</v>
      </c>
      <c r="E15" s="32">
        <f>COUNTIFS(Data!$F:$F,B15, Data!$K:$K, "Kenya")</f>
        <v>0</v>
      </c>
    </row>
    <row r="16" spans="1:5" x14ac:dyDescent="0.2">
      <c r="A16" s="70">
        <v>12</v>
      </c>
      <c r="B16" s="70" t="s">
        <v>145</v>
      </c>
      <c r="C16" s="32">
        <f>COUNTIF(Data!$F:$F,B16 )</f>
        <v>39</v>
      </c>
      <c r="D16" s="32">
        <f>COUNTIFS(Data!$F:$F,B16, Data!$K:$K, "Vietnam")</f>
        <v>8</v>
      </c>
      <c r="E16" s="32">
        <f>COUNTIFS(Data!$F:$F,B16, Data!$K:$K, "Kenya")</f>
        <v>31</v>
      </c>
    </row>
    <row r="17" spans="1:5" x14ac:dyDescent="0.2">
      <c r="A17" s="70">
        <v>13</v>
      </c>
      <c r="B17" s="70" t="s">
        <v>43</v>
      </c>
      <c r="C17" s="32">
        <f>COUNTIF(Data!$F:$F,B17 )</f>
        <v>21</v>
      </c>
      <c r="D17" s="32">
        <f>COUNTIFS(Data!$F:$F,B17, Data!$K:$K, "Vietnam")</f>
        <v>13</v>
      </c>
      <c r="E17" s="32">
        <f>COUNTIFS(Data!$F:$F,B17, Data!$K:$K, "Kenya")</f>
        <v>8</v>
      </c>
    </row>
    <row r="18" spans="1:5" x14ac:dyDescent="0.2">
      <c r="A18" s="70">
        <v>14</v>
      </c>
      <c r="B18" s="70" t="s">
        <v>47</v>
      </c>
      <c r="C18" s="32">
        <f>COUNTIF(Data!$F:$F,B18 )</f>
        <v>43</v>
      </c>
      <c r="D18" s="32">
        <f>COUNTIFS(Data!$F:$F,B18, Data!$K:$K, "Vietnam")</f>
        <v>4</v>
      </c>
      <c r="E18" s="32">
        <f>COUNTIFS(Data!$F:$F,B18, Data!$K:$K, "Kenya")</f>
        <v>39</v>
      </c>
    </row>
    <row r="19" spans="1:5" x14ac:dyDescent="0.2">
      <c r="A19" s="70">
        <v>15</v>
      </c>
      <c r="B19" s="70" t="s">
        <v>36</v>
      </c>
      <c r="C19" s="32">
        <f>COUNTIF(Data!$F:$F,B19 )</f>
        <v>9</v>
      </c>
      <c r="D19" s="32">
        <f>COUNTIFS(Data!$F:$F,B19, Data!$K:$K, "Vietnam")</f>
        <v>6</v>
      </c>
      <c r="E19" s="32">
        <f>COUNTIFS(Data!$F:$F,B19, Data!$K:$K, "Kenya")</f>
        <v>3</v>
      </c>
    </row>
    <row r="20" spans="1:5" x14ac:dyDescent="0.2">
      <c r="A20" s="70" t="s">
        <v>2890</v>
      </c>
      <c r="B20" s="70"/>
      <c r="C20" s="32">
        <f>COUNTIF(Data!$E:$E, "Habitat")</f>
        <v>56</v>
      </c>
      <c r="D20" s="32">
        <f>COUNTIFS(Data!$E:$E, "Habitat", Data!$K:$K, "Vietnam")</f>
        <v>46</v>
      </c>
      <c r="E20" s="32">
        <f>COUNTIFS(Data!$E:$E, "Habitat", Data!$K:$K, "Kenya")</f>
        <v>10</v>
      </c>
    </row>
    <row r="21" spans="1:5" x14ac:dyDescent="0.2">
      <c r="A21" s="70">
        <v>16</v>
      </c>
      <c r="B21" s="70" t="s">
        <v>2893</v>
      </c>
      <c r="C21" s="32">
        <f>COUNTIF(Data!$F:$F,B21 )</f>
        <v>4</v>
      </c>
      <c r="D21" s="32">
        <f>COUNTIFS(Data!$F:$F,B21, Data!$K:$K, "Vietnam")</f>
        <v>2</v>
      </c>
      <c r="E21" s="32">
        <f>COUNTIFS(Data!$F:$F,B21, Data!$K:$K, "Kenya")</f>
        <v>2</v>
      </c>
    </row>
    <row r="22" spans="1:5" x14ac:dyDescent="0.2">
      <c r="A22" s="70">
        <v>17</v>
      </c>
      <c r="B22" s="70" t="s">
        <v>2894</v>
      </c>
      <c r="C22" s="32">
        <f>COUNTIF(Data!$F:$F,B22 )</f>
        <v>52</v>
      </c>
      <c r="D22" s="32">
        <f>COUNTIFS(Data!$F:$F,B22, Data!$K:$K, "Vietnam")</f>
        <v>44</v>
      </c>
      <c r="E22" s="32">
        <f>COUNTIFS(Data!$F:$F,B22, Data!$K:$K, "Kenya")</f>
        <v>8</v>
      </c>
    </row>
    <row r="23" spans="1:5" x14ac:dyDescent="0.2">
      <c r="A23" s="70" t="s">
        <v>2891</v>
      </c>
      <c r="B23" s="70"/>
      <c r="C23" s="32">
        <f>COUNTIF(Data!$E:$E, "Cultural")</f>
        <v>65</v>
      </c>
      <c r="D23" s="32">
        <f>COUNTIFS(Data!$E:$E, "Cultural", Data!$K:$K, "Vietnam")</f>
        <v>18</v>
      </c>
      <c r="E23" s="32">
        <f>COUNTIFS(Data!$E:$E, "Cultural", Data!$K:$K, "Kenya")</f>
        <v>47</v>
      </c>
    </row>
    <row r="24" spans="1:5" x14ac:dyDescent="0.2">
      <c r="A24" s="70">
        <v>18</v>
      </c>
      <c r="B24" s="70" t="s">
        <v>54</v>
      </c>
      <c r="C24" s="32">
        <f>COUNTIF(Data!$F:$F,B24 )</f>
        <v>0</v>
      </c>
      <c r="D24" s="32">
        <f>COUNTIFS(Data!$F:$F,B24, Data!$K:$K, "Vietnam")</f>
        <v>0</v>
      </c>
      <c r="E24" s="32">
        <f>COUNTIFS(Data!$F:$F,B24, Data!$K:$K, "Kenya")</f>
        <v>0</v>
      </c>
    </row>
    <row r="25" spans="1:5" x14ac:dyDescent="0.2">
      <c r="A25" s="70">
        <v>19</v>
      </c>
      <c r="B25" s="70" t="s">
        <v>121</v>
      </c>
      <c r="C25" s="32">
        <f>COUNTIF(Data!$F:$F,B25 )</f>
        <v>54</v>
      </c>
      <c r="D25" s="32">
        <f>COUNTIFS(Data!$F:$F,B25, Data!$K:$K, "Vietnam")</f>
        <v>14</v>
      </c>
      <c r="E25" s="32">
        <f>COUNTIFS(Data!$F:$F,B25, Data!$K:$K, "Kenya")</f>
        <v>40</v>
      </c>
    </row>
    <row r="26" spans="1:5" x14ac:dyDescent="0.2">
      <c r="A26" s="70">
        <v>20</v>
      </c>
      <c r="B26" s="70" t="s">
        <v>10</v>
      </c>
      <c r="C26" s="32">
        <f>COUNTIF(Data!$F:$F,B26 )</f>
        <v>6</v>
      </c>
      <c r="D26" s="32">
        <f>COUNTIFS(Data!$F:$F,B26, Data!$K:$K, "Vietnam")</f>
        <v>4</v>
      </c>
      <c r="E26" s="32">
        <f>COUNTIFS(Data!$F:$F,B26, Data!$K:$K, "Kenya")</f>
        <v>2</v>
      </c>
    </row>
    <row r="27" spans="1:5" x14ac:dyDescent="0.2">
      <c r="A27" s="70">
        <v>21</v>
      </c>
      <c r="B27" s="70" t="s">
        <v>9</v>
      </c>
      <c r="C27" s="32">
        <f>COUNTIF(Data!$F:$F,B27 )</f>
        <v>0</v>
      </c>
      <c r="D27" s="32">
        <f>COUNTIFS(Data!$F:$F,B27, Data!$K:$K, "Vietnam")</f>
        <v>0</v>
      </c>
      <c r="E27" s="32">
        <f>COUNTIFS(Data!$F:$F,B27, Data!$K:$K, "Kenya")</f>
        <v>0</v>
      </c>
    </row>
    <row r="28" spans="1:5" ht="15" x14ac:dyDescent="0.25">
      <c r="A28" s="70">
        <v>22</v>
      </c>
      <c r="B28" s="71" t="s">
        <v>52</v>
      </c>
      <c r="C28" s="32">
        <f>COUNTIF(Data!$F:$F,B28 )</f>
        <v>5</v>
      </c>
      <c r="D28" s="32">
        <f>COUNTIFS(Data!$F:$F,B28, Data!$K:$K, "Vietnam")</f>
        <v>0</v>
      </c>
      <c r="E28" s="32">
        <f>COUNTIFS(Data!$F:$F,B28, Data!$K:$K, "Kenya")</f>
        <v>5</v>
      </c>
    </row>
    <row r="29" spans="1:5" x14ac:dyDescent="0.2">
      <c r="A29" s="70" t="s">
        <v>2897</v>
      </c>
      <c r="B29" s="70"/>
      <c r="C29" s="32">
        <f>COUNTIF(Data!$E:$E, "Additional and general")</f>
        <v>584</v>
      </c>
      <c r="D29" s="32">
        <f>COUNTIFS(Data!$E:$E, "Additional and general", Data!$K:$K, "Vietnam")</f>
        <v>289</v>
      </c>
      <c r="E29" s="32">
        <f>COUNTIFS(Data!$E:$E, "Additional and general", Data!$K:$K, "Kenya")</f>
        <v>295</v>
      </c>
    </row>
    <row r="30" spans="1:5" x14ac:dyDescent="0.2">
      <c r="A30" s="70">
        <v>23</v>
      </c>
      <c r="B30" s="70" t="s">
        <v>29</v>
      </c>
      <c r="C30" s="32">
        <f>COUNTIF(Data!$F:$F,B30 )</f>
        <v>376</v>
      </c>
      <c r="D30" s="32">
        <f>COUNTIFS(Data!$F:$F,B30, Data!$K:$K, "Vietnam")</f>
        <v>259</v>
      </c>
      <c r="E30" s="32">
        <f>COUNTIFS(Data!$F:$F,B30, Data!$K:$K, "Kenya")</f>
        <v>117</v>
      </c>
    </row>
    <row r="31" spans="1:5" x14ac:dyDescent="0.2">
      <c r="A31" s="70">
        <v>24</v>
      </c>
      <c r="B31" s="70" t="s">
        <v>21</v>
      </c>
      <c r="C31" s="32">
        <f>COUNTIF(Data!$F:$F,B31 )</f>
        <v>182</v>
      </c>
      <c r="D31" s="32">
        <f>COUNTIFS(Data!$F:$F,B31, Data!$K:$K, "Vietnam")</f>
        <v>27</v>
      </c>
      <c r="E31" s="32">
        <f>COUNTIFS(Data!$F:$F,B31, Data!$K:$K, "Kenya")</f>
        <v>155</v>
      </c>
    </row>
    <row r="32" spans="1:5" x14ac:dyDescent="0.2">
      <c r="A32" s="70">
        <v>25</v>
      </c>
      <c r="B32" s="70" t="s">
        <v>147</v>
      </c>
      <c r="C32" s="32">
        <f>COUNTIF(Data!$F:$F,B32 )</f>
        <v>9</v>
      </c>
      <c r="D32" s="32">
        <f>COUNTIFS(Data!$F:$F,B32, Data!$K:$K, "Vietnam")</f>
        <v>0</v>
      </c>
      <c r="E32" s="32">
        <f>COUNTIFS(Data!$F:$F,B32, Data!$K:$K, "Kenya")</f>
        <v>9</v>
      </c>
    </row>
    <row r="33" spans="1:5" ht="15" x14ac:dyDescent="0.25">
      <c r="A33" s="70">
        <v>26</v>
      </c>
      <c r="B33" s="71" t="s">
        <v>108</v>
      </c>
      <c r="C33" s="32">
        <f>COUNTIF(Data!F32:F1630,B33 )</f>
        <v>10</v>
      </c>
      <c r="D33" s="32">
        <f>COUNTIFS(Data!$F:$F,B33, Data!$K:$K, "Vietnam")</f>
        <v>0</v>
      </c>
      <c r="E33" s="32">
        <f>COUNTIFS(Data!$F:$F,B33, Data!$K:$K, "Kenya")</f>
        <v>10</v>
      </c>
    </row>
    <row r="34" spans="1:5" x14ac:dyDescent="0.2">
      <c r="A34" s="70">
        <v>27</v>
      </c>
      <c r="B34" s="70" t="s">
        <v>2959</v>
      </c>
      <c r="C34" s="32">
        <f>COUNTIF(Data!$F:$F,B34 )</f>
        <v>4</v>
      </c>
      <c r="D34" s="32">
        <f>COUNTIFS(Data!$F:$F,B34, Data!$K:$K, "Vietnam")</f>
        <v>2</v>
      </c>
      <c r="E34" s="32">
        <f>COUNTIFS(Data!$F:$F,B34, Data!$K:$K, "Kenya")</f>
        <v>2</v>
      </c>
    </row>
    <row r="35" spans="1:5" x14ac:dyDescent="0.2">
      <c r="A35" s="70">
        <v>28</v>
      </c>
      <c r="B35" s="70" t="s">
        <v>2960</v>
      </c>
      <c r="C35" s="32">
        <f>COUNTIF(Data!$F:$F,B35 )</f>
        <v>0</v>
      </c>
      <c r="D35" s="32">
        <f>COUNTIFS(Data!$F:$F,B35, Data!$K:$K, "Vietnam")</f>
        <v>0</v>
      </c>
      <c r="E35" s="32">
        <f>COUNTIFS(Data!$F:$F,B35, Data!$K:$K, "Kenya")</f>
        <v>0</v>
      </c>
    </row>
    <row r="36" spans="1:5" x14ac:dyDescent="0.2">
      <c r="A36" s="70">
        <v>29</v>
      </c>
      <c r="B36" s="70" t="s">
        <v>2962</v>
      </c>
      <c r="C36" s="32">
        <f>COUNTIF(Data!$F:$F,B36 )</f>
        <v>1</v>
      </c>
      <c r="D36" s="32">
        <f>COUNTIFS(Data!$F:$F,B36, Data!$K:$K, "Vietnam")</f>
        <v>1</v>
      </c>
      <c r="E36" s="32">
        <f>COUNTIFS(Data!$F:$F,B36, Data!$K:$K, "Kenya")</f>
        <v>0</v>
      </c>
    </row>
    <row r="37" spans="1:5" x14ac:dyDescent="0.2">
      <c r="A37" s="70">
        <v>30</v>
      </c>
      <c r="B37" s="70" t="s">
        <v>2185</v>
      </c>
      <c r="C37" s="32">
        <f>COUNTIF(Data!$F:$F,B37 )</f>
        <v>2</v>
      </c>
      <c r="D37" s="32">
        <f>COUNTIFS(Data!$F:$F,B37, Data!$K:$K, "Vietnam")</f>
        <v>0</v>
      </c>
      <c r="E37" s="32">
        <f>COUNTIFS(Data!$F:$F,B37, Data!$K:$K, "Kenya")</f>
        <v>2</v>
      </c>
    </row>
  </sheetData>
  <pageMargins left="0.7" right="0.7" top="0.75" bottom="0.75" header="0.3" footer="0.3"/>
</worksheet>
</file>

<file path=xl/worksheets/sheet7.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A42F2-9281-4E82-8C17-1D75942190A6}">
  <dimension ref="A1:P116"/>
  <sheetViews>
    <sheetView topLeftCell="A45" workbookViewId="0">
      <selection activeCell="B113" sqref="B113"/>
    </sheetView>
  </sheetViews>
  <sheetFormatPr defaultColWidth="8.7109375" defaultRowHeight="15" x14ac:dyDescent="0.25"/>
  <cols>
    <col min="1" max="16384" width="8.7109375" style="64"/>
  </cols>
  <sheetData>
    <row r="1" spans="1:16" x14ac:dyDescent="0.25">
      <c r="A1" s="69" t="s">
        <v>2886</v>
      </c>
      <c r="B1" s="68"/>
      <c r="C1" s="68"/>
      <c r="D1" s="68"/>
      <c r="E1" s="68"/>
      <c r="F1" s="68"/>
      <c r="G1" s="68"/>
      <c r="H1" s="68"/>
      <c r="I1" s="68"/>
      <c r="J1" s="68"/>
      <c r="K1" s="68"/>
      <c r="L1" s="68"/>
      <c r="M1" s="68"/>
      <c r="N1" s="68"/>
      <c r="P1" s="67" t="s">
        <v>2881</v>
      </c>
    </row>
    <row r="2" spans="1:16" ht="30" x14ac:dyDescent="0.25">
      <c r="A2" s="63" t="s">
        <v>2866</v>
      </c>
      <c r="B2" s="63" t="s">
        <v>2883</v>
      </c>
      <c r="C2" s="63" t="s">
        <v>2869</v>
      </c>
      <c r="D2" s="63" t="s">
        <v>2870</v>
      </c>
      <c r="E2" s="63" t="s">
        <v>2871</v>
      </c>
      <c r="F2" s="63" t="s">
        <v>2872</v>
      </c>
      <c r="G2" s="63" t="s">
        <v>2873</v>
      </c>
      <c r="H2" s="63" t="s">
        <v>2874</v>
      </c>
      <c r="I2" s="63" t="s">
        <v>2875</v>
      </c>
      <c r="J2" s="63" t="s">
        <v>2876</v>
      </c>
      <c r="K2" s="63" t="s">
        <v>2877</v>
      </c>
      <c r="L2" s="63" t="s">
        <v>2878</v>
      </c>
      <c r="M2" s="63" t="s">
        <v>2879</v>
      </c>
      <c r="N2" s="63" t="s">
        <v>2880</v>
      </c>
    </row>
    <row r="3" spans="1:16" x14ac:dyDescent="0.25">
      <c r="A3" s="63">
        <v>1913</v>
      </c>
      <c r="B3" s="65">
        <v>9.9</v>
      </c>
      <c r="C3" s="65">
        <v>9.8000000000000007</v>
      </c>
      <c r="D3" s="65">
        <v>9.8000000000000007</v>
      </c>
      <c r="E3" s="65">
        <v>9.8000000000000007</v>
      </c>
      <c r="F3" s="65">
        <v>9.8000000000000007</v>
      </c>
      <c r="G3" s="65">
        <v>9.6999999999999993</v>
      </c>
      <c r="H3" s="65">
        <v>9.8000000000000007</v>
      </c>
      <c r="I3" s="65">
        <v>9.9</v>
      </c>
      <c r="J3" s="65">
        <v>9.9</v>
      </c>
      <c r="K3" s="65">
        <v>10</v>
      </c>
      <c r="L3" s="65">
        <v>10</v>
      </c>
      <c r="M3" s="65">
        <v>10.1</v>
      </c>
      <c r="N3" s="65">
        <v>10</v>
      </c>
    </row>
    <row r="4" spans="1:16" x14ac:dyDescent="0.25">
      <c r="A4" s="63">
        <v>1914</v>
      </c>
      <c r="B4" s="65">
        <v>10</v>
      </c>
      <c r="C4" s="65">
        <v>10</v>
      </c>
      <c r="D4" s="65">
        <v>9.9</v>
      </c>
      <c r="E4" s="65">
        <v>9.9</v>
      </c>
      <c r="F4" s="65">
        <v>9.8000000000000007</v>
      </c>
      <c r="G4" s="65">
        <v>9.9</v>
      </c>
      <c r="H4" s="65">
        <v>9.9</v>
      </c>
      <c r="I4" s="65">
        <v>10</v>
      </c>
      <c r="J4" s="65">
        <v>10.199999999999999</v>
      </c>
      <c r="K4" s="65">
        <v>10.199999999999999</v>
      </c>
      <c r="L4" s="65">
        <v>10.1</v>
      </c>
      <c r="M4" s="65">
        <v>10.199999999999999</v>
      </c>
      <c r="N4" s="65">
        <v>10.1</v>
      </c>
    </row>
    <row r="5" spans="1:16" x14ac:dyDescent="0.25">
      <c r="A5" s="63">
        <v>1915</v>
      </c>
      <c r="B5" s="65">
        <v>10.1</v>
      </c>
      <c r="C5" s="65">
        <v>10.1</v>
      </c>
      <c r="D5" s="65">
        <v>10</v>
      </c>
      <c r="E5" s="65">
        <v>9.9</v>
      </c>
      <c r="F5" s="65">
        <v>10</v>
      </c>
      <c r="G5" s="65">
        <v>10.1</v>
      </c>
      <c r="H5" s="65">
        <v>10.1</v>
      </c>
      <c r="I5" s="65">
        <v>10.1</v>
      </c>
      <c r="J5" s="65">
        <v>10.1</v>
      </c>
      <c r="K5" s="65">
        <v>10.1</v>
      </c>
      <c r="L5" s="65">
        <v>10.199999999999999</v>
      </c>
      <c r="M5" s="65">
        <v>10.3</v>
      </c>
      <c r="N5" s="65">
        <v>10.3</v>
      </c>
    </row>
    <row r="6" spans="1:16" x14ac:dyDescent="0.25">
      <c r="A6" s="63">
        <v>1916</v>
      </c>
      <c r="B6" s="65">
        <v>10.9</v>
      </c>
      <c r="C6" s="65">
        <v>10.4</v>
      </c>
      <c r="D6" s="65">
        <v>10.4</v>
      </c>
      <c r="E6" s="65">
        <v>10.5</v>
      </c>
      <c r="F6" s="65">
        <v>10.6</v>
      </c>
      <c r="G6" s="65">
        <v>10.7</v>
      </c>
      <c r="H6" s="65">
        <v>10.8</v>
      </c>
      <c r="I6" s="65">
        <v>10.8</v>
      </c>
      <c r="J6" s="65">
        <v>10.9</v>
      </c>
      <c r="K6" s="65">
        <v>11.1</v>
      </c>
      <c r="L6" s="65">
        <v>11.3</v>
      </c>
      <c r="M6" s="65">
        <v>11.5</v>
      </c>
      <c r="N6" s="65">
        <v>11.6</v>
      </c>
    </row>
    <row r="7" spans="1:16" x14ac:dyDescent="0.25">
      <c r="A7" s="63">
        <v>1917</v>
      </c>
      <c r="B7" s="65">
        <v>12.8</v>
      </c>
      <c r="C7" s="65">
        <v>11.7</v>
      </c>
      <c r="D7" s="65">
        <v>12</v>
      </c>
      <c r="E7" s="65">
        <v>12</v>
      </c>
      <c r="F7" s="65">
        <v>12.6</v>
      </c>
      <c r="G7" s="65">
        <v>12.8</v>
      </c>
      <c r="H7" s="65">
        <v>13</v>
      </c>
      <c r="I7" s="65">
        <v>12.8</v>
      </c>
      <c r="J7" s="65">
        <v>13</v>
      </c>
      <c r="K7" s="65">
        <v>13.3</v>
      </c>
      <c r="L7" s="65">
        <v>13.5</v>
      </c>
      <c r="M7" s="65">
        <v>13.5</v>
      </c>
      <c r="N7" s="65">
        <v>13.7</v>
      </c>
    </row>
    <row r="8" spans="1:16" x14ac:dyDescent="0.25">
      <c r="A8" s="63">
        <v>1918</v>
      </c>
      <c r="B8" s="65">
        <v>15.1</v>
      </c>
      <c r="C8" s="65">
        <v>14</v>
      </c>
      <c r="D8" s="65">
        <v>14.1</v>
      </c>
      <c r="E8" s="65">
        <v>14</v>
      </c>
      <c r="F8" s="65">
        <v>14.2</v>
      </c>
      <c r="G8" s="65">
        <v>14.5</v>
      </c>
      <c r="H8" s="65">
        <v>14.7</v>
      </c>
      <c r="I8" s="65">
        <v>15.1</v>
      </c>
      <c r="J8" s="65">
        <v>15.4</v>
      </c>
      <c r="K8" s="65">
        <v>15.7</v>
      </c>
      <c r="L8" s="65">
        <v>16</v>
      </c>
      <c r="M8" s="65">
        <v>16.3</v>
      </c>
      <c r="N8" s="65">
        <v>16.5</v>
      </c>
    </row>
    <row r="9" spans="1:16" x14ac:dyDescent="0.25">
      <c r="A9" s="63">
        <v>1919</v>
      </c>
      <c r="B9" s="65">
        <v>17.3</v>
      </c>
      <c r="C9" s="65">
        <v>16.5</v>
      </c>
      <c r="D9" s="65">
        <v>16.2</v>
      </c>
      <c r="E9" s="65">
        <v>16.399999999999999</v>
      </c>
      <c r="F9" s="65">
        <v>16.7</v>
      </c>
      <c r="G9" s="65">
        <v>16.899999999999999</v>
      </c>
      <c r="H9" s="65">
        <v>16.899999999999999</v>
      </c>
      <c r="I9" s="65">
        <v>17.399999999999999</v>
      </c>
      <c r="J9" s="65">
        <v>17.7</v>
      </c>
      <c r="K9" s="65">
        <v>17.8</v>
      </c>
      <c r="L9" s="65">
        <v>18.100000000000001</v>
      </c>
      <c r="M9" s="65">
        <v>18.5</v>
      </c>
      <c r="N9" s="65">
        <v>18.899999999999999</v>
      </c>
    </row>
    <row r="10" spans="1:16" x14ac:dyDescent="0.25">
      <c r="A10" s="63">
        <v>1920</v>
      </c>
      <c r="B10" s="65">
        <v>20</v>
      </c>
      <c r="C10" s="65">
        <v>19.3</v>
      </c>
      <c r="D10" s="65">
        <v>19.5</v>
      </c>
      <c r="E10" s="65">
        <v>19.7</v>
      </c>
      <c r="F10" s="65">
        <v>20.3</v>
      </c>
      <c r="G10" s="65">
        <v>20.6</v>
      </c>
      <c r="H10" s="65">
        <v>20.9</v>
      </c>
      <c r="I10" s="65">
        <v>20.8</v>
      </c>
      <c r="J10" s="65">
        <v>20.3</v>
      </c>
      <c r="K10" s="65">
        <v>20</v>
      </c>
      <c r="L10" s="65">
        <v>19.899999999999999</v>
      </c>
      <c r="M10" s="65">
        <v>19.8</v>
      </c>
      <c r="N10" s="65">
        <v>19.399999999999999</v>
      </c>
    </row>
    <row r="11" spans="1:16" x14ac:dyDescent="0.25">
      <c r="A11" s="63">
        <v>1921</v>
      </c>
      <c r="B11" s="65">
        <v>17.899999999999999</v>
      </c>
      <c r="C11" s="65">
        <v>19</v>
      </c>
      <c r="D11" s="65">
        <v>18.399999999999999</v>
      </c>
      <c r="E11" s="65">
        <v>18.3</v>
      </c>
      <c r="F11" s="65">
        <v>18.100000000000001</v>
      </c>
      <c r="G11" s="65">
        <v>17.7</v>
      </c>
      <c r="H11" s="65">
        <v>17.600000000000001</v>
      </c>
      <c r="I11" s="65">
        <v>17.7</v>
      </c>
      <c r="J11" s="65">
        <v>17.7</v>
      </c>
      <c r="K11" s="65">
        <v>17.5</v>
      </c>
      <c r="L11" s="65">
        <v>17.5</v>
      </c>
      <c r="M11" s="65">
        <v>17.399999999999999</v>
      </c>
      <c r="N11" s="65">
        <v>17.3</v>
      </c>
    </row>
    <row r="12" spans="1:16" x14ac:dyDescent="0.25">
      <c r="A12" s="63">
        <v>1922</v>
      </c>
      <c r="B12" s="65">
        <v>16.8</v>
      </c>
      <c r="C12" s="65">
        <v>16.899999999999999</v>
      </c>
      <c r="D12" s="65">
        <v>16.899999999999999</v>
      </c>
      <c r="E12" s="65">
        <v>16.7</v>
      </c>
      <c r="F12" s="65">
        <v>16.7</v>
      </c>
      <c r="G12" s="65">
        <v>16.7</v>
      </c>
      <c r="H12" s="65">
        <v>16.7</v>
      </c>
      <c r="I12" s="65">
        <v>16.8</v>
      </c>
      <c r="J12" s="65">
        <v>16.600000000000001</v>
      </c>
      <c r="K12" s="65">
        <v>16.600000000000001</v>
      </c>
      <c r="L12" s="65">
        <v>16.7</v>
      </c>
      <c r="M12" s="65">
        <v>16.8</v>
      </c>
      <c r="N12" s="65">
        <v>16.899999999999999</v>
      </c>
    </row>
    <row r="13" spans="1:16" x14ac:dyDescent="0.25">
      <c r="A13" s="63">
        <v>1923</v>
      </c>
      <c r="B13" s="65">
        <v>17.100000000000001</v>
      </c>
      <c r="C13" s="65">
        <v>16.8</v>
      </c>
      <c r="D13" s="65">
        <v>16.8</v>
      </c>
      <c r="E13" s="65">
        <v>16.8</v>
      </c>
      <c r="F13" s="65">
        <v>16.899999999999999</v>
      </c>
      <c r="G13" s="65">
        <v>16.899999999999999</v>
      </c>
      <c r="H13" s="65">
        <v>17</v>
      </c>
      <c r="I13" s="65">
        <v>17.2</v>
      </c>
      <c r="J13" s="65">
        <v>17.100000000000001</v>
      </c>
      <c r="K13" s="65">
        <v>17.2</v>
      </c>
      <c r="L13" s="65">
        <v>17.3</v>
      </c>
      <c r="M13" s="65">
        <v>17.3</v>
      </c>
      <c r="N13" s="65">
        <v>17.3</v>
      </c>
    </row>
    <row r="14" spans="1:16" x14ac:dyDescent="0.25">
      <c r="A14" s="63">
        <v>1924</v>
      </c>
      <c r="B14" s="65">
        <v>17.100000000000001</v>
      </c>
      <c r="C14" s="65">
        <v>17.3</v>
      </c>
      <c r="D14" s="65">
        <v>17.2</v>
      </c>
      <c r="E14" s="65">
        <v>17.100000000000001</v>
      </c>
      <c r="F14" s="65">
        <v>17</v>
      </c>
      <c r="G14" s="65">
        <v>17</v>
      </c>
      <c r="H14" s="65">
        <v>17</v>
      </c>
      <c r="I14" s="65">
        <v>17.100000000000001</v>
      </c>
      <c r="J14" s="65">
        <v>17</v>
      </c>
      <c r="K14" s="65">
        <v>17.100000000000001</v>
      </c>
      <c r="L14" s="65">
        <v>17.2</v>
      </c>
      <c r="M14" s="65">
        <v>17.2</v>
      </c>
      <c r="N14" s="65">
        <v>17.3</v>
      </c>
    </row>
    <row r="15" spans="1:16" x14ac:dyDescent="0.25">
      <c r="A15" s="63">
        <v>1925</v>
      </c>
      <c r="B15" s="65">
        <v>17.5</v>
      </c>
      <c r="C15" s="65">
        <v>17.3</v>
      </c>
      <c r="D15" s="65">
        <v>17.2</v>
      </c>
      <c r="E15" s="65">
        <v>17.3</v>
      </c>
      <c r="F15" s="65">
        <v>17.2</v>
      </c>
      <c r="G15" s="65">
        <v>17.3</v>
      </c>
      <c r="H15" s="65">
        <v>17.5</v>
      </c>
      <c r="I15" s="65">
        <v>17.7</v>
      </c>
      <c r="J15" s="65">
        <v>17.7</v>
      </c>
      <c r="K15" s="65">
        <v>17.7</v>
      </c>
      <c r="L15" s="65">
        <v>17.7</v>
      </c>
      <c r="M15" s="65">
        <v>18</v>
      </c>
      <c r="N15" s="65">
        <v>17.899999999999999</v>
      </c>
    </row>
    <row r="16" spans="1:16" x14ac:dyDescent="0.25">
      <c r="A16" s="63">
        <v>1926</v>
      </c>
      <c r="B16" s="65">
        <v>17.7</v>
      </c>
      <c r="C16" s="65">
        <v>17.899999999999999</v>
      </c>
      <c r="D16" s="65">
        <v>17.899999999999999</v>
      </c>
      <c r="E16" s="65">
        <v>17.8</v>
      </c>
      <c r="F16" s="65">
        <v>17.899999999999999</v>
      </c>
      <c r="G16" s="65">
        <v>17.8</v>
      </c>
      <c r="H16" s="65">
        <v>17.7</v>
      </c>
      <c r="I16" s="65">
        <v>17.5</v>
      </c>
      <c r="J16" s="65">
        <v>17.399999999999999</v>
      </c>
      <c r="K16" s="65">
        <v>17.5</v>
      </c>
      <c r="L16" s="65">
        <v>17.600000000000001</v>
      </c>
      <c r="M16" s="65">
        <v>17.7</v>
      </c>
      <c r="N16" s="65">
        <v>17.7</v>
      </c>
    </row>
    <row r="17" spans="1:14" x14ac:dyDescent="0.25">
      <c r="A17" s="63">
        <v>1927</v>
      </c>
      <c r="B17" s="65">
        <v>17.399999999999999</v>
      </c>
      <c r="C17" s="65">
        <v>17.5</v>
      </c>
      <c r="D17" s="65">
        <v>17.399999999999999</v>
      </c>
      <c r="E17" s="65">
        <v>17.3</v>
      </c>
      <c r="F17" s="65">
        <v>17.3</v>
      </c>
      <c r="G17" s="65">
        <v>17.399999999999999</v>
      </c>
      <c r="H17" s="65">
        <v>17.600000000000001</v>
      </c>
      <c r="I17" s="65">
        <v>17.3</v>
      </c>
      <c r="J17" s="65">
        <v>17.2</v>
      </c>
      <c r="K17" s="65">
        <v>17.3</v>
      </c>
      <c r="L17" s="65">
        <v>17.399999999999999</v>
      </c>
      <c r="M17" s="65">
        <v>17.3</v>
      </c>
      <c r="N17" s="65">
        <v>17.3</v>
      </c>
    </row>
    <row r="18" spans="1:14" x14ac:dyDescent="0.25">
      <c r="A18" s="63">
        <v>1928</v>
      </c>
      <c r="B18" s="65">
        <v>17.100000000000001</v>
      </c>
      <c r="C18" s="65">
        <v>17.3</v>
      </c>
      <c r="D18" s="65">
        <v>17.100000000000001</v>
      </c>
      <c r="E18" s="65">
        <v>17.100000000000001</v>
      </c>
      <c r="F18" s="65">
        <v>17.100000000000001</v>
      </c>
      <c r="G18" s="65">
        <v>17.2</v>
      </c>
      <c r="H18" s="65">
        <v>17.100000000000001</v>
      </c>
      <c r="I18" s="65">
        <v>17.100000000000001</v>
      </c>
      <c r="J18" s="65">
        <v>17.100000000000001</v>
      </c>
      <c r="K18" s="65">
        <v>17.3</v>
      </c>
      <c r="L18" s="65">
        <v>17.2</v>
      </c>
      <c r="M18" s="65">
        <v>17.2</v>
      </c>
      <c r="N18" s="65">
        <v>17.100000000000001</v>
      </c>
    </row>
    <row r="19" spans="1:14" x14ac:dyDescent="0.25">
      <c r="A19" s="63">
        <v>1929</v>
      </c>
      <c r="B19" s="65">
        <v>17.100000000000001</v>
      </c>
      <c r="C19" s="65">
        <v>17.100000000000001</v>
      </c>
      <c r="D19" s="65">
        <v>17.100000000000001</v>
      </c>
      <c r="E19" s="65">
        <v>17</v>
      </c>
      <c r="F19" s="65">
        <v>16.899999999999999</v>
      </c>
      <c r="G19" s="65">
        <v>17</v>
      </c>
      <c r="H19" s="65">
        <v>17.100000000000001</v>
      </c>
      <c r="I19" s="65">
        <v>17.3</v>
      </c>
      <c r="J19" s="65">
        <v>17.3</v>
      </c>
      <c r="K19" s="65">
        <v>17.3</v>
      </c>
      <c r="L19" s="65">
        <v>17.3</v>
      </c>
      <c r="M19" s="65">
        <v>17.3</v>
      </c>
      <c r="N19" s="65">
        <v>17.2</v>
      </c>
    </row>
    <row r="20" spans="1:14" x14ac:dyDescent="0.25">
      <c r="A20" s="63">
        <v>1930</v>
      </c>
      <c r="B20" s="65">
        <v>16.7</v>
      </c>
      <c r="C20" s="65">
        <v>17.100000000000001</v>
      </c>
      <c r="D20" s="65">
        <v>17</v>
      </c>
      <c r="E20" s="65">
        <v>16.899999999999999</v>
      </c>
      <c r="F20" s="65">
        <v>17</v>
      </c>
      <c r="G20" s="65">
        <v>16.899999999999999</v>
      </c>
      <c r="H20" s="65">
        <v>16.8</v>
      </c>
      <c r="I20" s="65">
        <v>16.600000000000001</v>
      </c>
      <c r="J20" s="65">
        <v>16.5</v>
      </c>
      <c r="K20" s="65">
        <v>16.600000000000001</v>
      </c>
      <c r="L20" s="65">
        <v>16.5</v>
      </c>
      <c r="M20" s="65">
        <v>16.399999999999999</v>
      </c>
      <c r="N20" s="65">
        <v>16.100000000000001</v>
      </c>
    </row>
    <row r="21" spans="1:14" x14ac:dyDescent="0.25">
      <c r="A21" s="63">
        <v>1931</v>
      </c>
      <c r="B21" s="65">
        <v>15.2</v>
      </c>
      <c r="C21" s="65">
        <v>15.9</v>
      </c>
      <c r="D21" s="65">
        <v>15.7</v>
      </c>
      <c r="E21" s="65">
        <v>15.6</v>
      </c>
      <c r="F21" s="65">
        <v>15.5</v>
      </c>
      <c r="G21" s="65">
        <v>15.3</v>
      </c>
      <c r="H21" s="65">
        <v>15.1</v>
      </c>
      <c r="I21" s="65">
        <v>15.1</v>
      </c>
      <c r="J21" s="65">
        <v>15.1</v>
      </c>
      <c r="K21" s="65">
        <v>15</v>
      </c>
      <c r="L21" s="65">
        <v>14.9</v>
      </c>
      <c r="M21" s="65">
        <v>14.7</v>
      </c>
      <c r="N21" s="65">
        <v>14.6</v>
      </c>
    </row>
    <row r="22" spans="1:14" x14ac:dyDescent="0.25">
      <c r="A22" s="63">
        <v>1932</v>
      </c>
      <c r="B22" s="65">
        <v>13.7</v>
      </c>
      <c r="C22" s="65">
        <v>14.3</v>
      </c>
      <c r="D22" s="65">
        <v>14.1</v>
      </c>
      <c r="E22" s="65">
        <v>14</v>
      </c>
      <c r="F22" s="65">
        <v>13.9</v>
      </c>
      <c r="G22" s="65">
        <v>13.7</v>
      </c>
      <c r="H22" s="65">
        <v>13.6</v>
      </c>
      <c r="I22" s="65">
        <v>13.6</v>
      </c>
      <c r="J22" s="65">
        <v>13.5</v>
      </c>
      <c r="K22" s="65">
        <v>13.4</v>
      </c>
      <c r="L22" s="65">
        <v>13.3</v>
      </c>
      <c r="M22" s="65">
        <v>13.2</v>
      </c>
      <c r="N22" s="65">
        <v>13.1</v>
      </c>
    </row>
    <row r="23" spans="1:14" x14ac:dyDescent="0.25">
      <c r="A23" s="63">
        <v>1933</v>
      </c>
      <c r="B23" s="65">
        <v>13</v>
      </c>
      <c r="C23" s="65">
        <v>12.9</v>
      </c>
      <c r="D23" s="65">
        <v>12.7</v>
      </c>
      <c r="E23" s="65">
        <v>12.6</v>
      </c>
      <c r="F23" s="65">
        <v>12.6</v>
      </c>
      <c r="G23" s="65">
        <v>12.6</v>
      </c>
      <c r="H23" s="65">
        <v>12.7</v>
      </c>
      <c r="I23" s="65">
        <v>13.1</v>
      </c>
      <c r="J23" s="65">
        <v>13.2</v>
      </c>
      <c r="K23" s="65">
        <v>13.2</v>
      </c>
      <c r="L23" s="65">
        <v>13.2</v>
      </c>
      <c r="M23" s="65">
        <v>13.2</v>
      </c>
      <c r="N23" s="65">
        <v>13.2</v>
      </c>
    </row>
    <row r="24" spans="1:14" x14ac:dyDescent="0.25">
      <c r="A24" s="63">
        <v>1934</v>
      </c>
      <c r="B24" s="65">
        <v>13.4</v>
      </c>
      <c r="C24" s="65">
        <v>13.2</v>
      </c>
      <c r="D24" s="65">
        <v>13.3</v>
      </c>
      <c r="E24" s="65">
        <v>13.3</v>
      </c>
      <c r="F24" s="65">
        <v>13.3</v>
      </c>
      <c r="G24" s="65">
        <v>13.3</v>
      </c>
      <c r="H24" s="65">
        <v>13.4</v>
      </c>
      <c r="I24" s="65">
        <v>13.4</v>
      </c>
      <c r="J24" s="65">
        <v>13.4</v>
      </c>
      <c r="K24" s="65">
        <v>13.6</v>
      </c>
      <c r="L24" s="65">
        <v>13.5</v>
      </c>
      <c r="M24" s="65">
        <v>13.5</v>
      </c>
      <c r="N24" s="65">
        <v>13.4</v>
      </c>
    </row>
    <row r="25" spans="1:14" x14ac:dyDescent="0.25">
      <c r="A25" s="63">
        <v>1935</v>
      </c>
      <c r="B25" s="65">
        <v>13.7</v>
      </c>
      <c r="C25" s="65">
        <v>13.6</v>
      </c>
      <c r="D25" s="65">
        <v>13.7</v>
      </c>
      <c r="E25" s="65">
        <v>13.7</v>
      </c>
      <c r="F25" s="65">
        <v>13.8</v>
      </c>
      <c r="G25" s="65">
        <v>13.8</v>
      </c>
      <c r="H25" s="65">
        <v>13.7</v>
      </c>
      <c r="I25" s="65">
        <v>13.7</v>
      </c>
      <c r="J25" s="65">
        <v>13.7</v>
      </c>
      <c r="K25" s="65">
        <v>13.7</v>
      </c>
      <c r="L25" s="65">
        <v>13.7</v>
      </c>
      <c r="M25" s="65">
        <v>13.8</v>
      </c>
      <c r="N25" s="65">
        <v>13.8</v>
      </c>
    </row>
    <row r="26" spans="1:14" x14ac:dyDescent="0.25">
      <c r="A26" s="63">
        <v>1936</v>
      </c>
      <c r="B26" s="65">
        <v>13.9</v>
      </c>
      <c r="C26" s="65">
        <v>13.8</v>
      </c>
      <c r="D26" s="65">
        <v>13.8</v>
      </c>
      <c r="E26" s="65">
        <v>13.7</v>
      </c>
      <c r="F26" s="65">
        <v>13.7</v>
      </c>
      <c r="G26" s="65">
        <v>13.7</v>
      </c>
      <c r="H26" s="65">
        <v>13.8</v>
      </c>
      <c r="I26" s="65">
        <v>13.9</v>
      </c>
      <c r="J26" s="65">
        <v>14</v>
      </c>
      <c r="K26" s="65">
        <v>14</v>
      </c>
      <c r="L26" s="65">
        <v>14</v>
      </c>
      <c r="M26" s="65">
        <v>14</v>
      </c>
      <c r="N26" s="65">
        <v>14</v>
      </c>
    </row>
    <row r="27" spans="1:14" x14ac:dyDescent="0.25">
      <c r="A27" s="63">
        <v>1937</v>
      </c>
      <c r="B27" s="65">
        <v>14.4</v>
      </c>
      <c r="C27" s="65">
        <v>14.1</v>
      </c>
      <c r="D27" s="65">
        <v>14.1</v>
      </c>
      <c r="E27" s="65">
        <v>14.2</v>
      </c>
      <c r="F27" s="65">
        <v>14.3</v>
      </c>
      <c r="G27" s="65">
        <v>14.4</v>
      </c>
      <c r="H27" s="65">
        <v>14.4</v>
      </c>
      <c r="I27" s="65">
        <v>14.5</v>
      </c>
      <c r="J27" s="65">
        <v>14.5</v>
      </c>
      <c r="K27" s="65">
        <v>14.6</v>
      </c>
      <c r="L27" s="65">
        <v>14.6</v>
      </c>
      <c r="M27" s="65">
        <v>14.5</v>
      </c>
      <c r="N27" s="65">
        <v>14.4</v>
      </c>
    </row>
    <row r="28" spans="1:14" x14ac:dyDescent="0.25">
      <c r="A28" s="63">
        <v>1938</v>
      </c>
      <c r="B28" s="65">
        <v>14.1</v>
      </c>
      <c r="C28" s="65">
        <v>14.2</v>
      </c>
      <c r="D28" s="65">
        <v>14.1</v>
      </c>
      <c r="E28" s="65">
        <v>14.1</v>
      </c>
      <c r="F28" s="65">
        <v>14.2</v>
      </c>
      <c r="G28" s="65">
        <v>14.1</v>
      </c>
      <c r="H28" s="65">
        <v>14.1</v>
      </c>
      <c r="I28" s="65">
        <v>14.1</v>
      </c>
      <c r="J28" s="65">
        <v>14.1</v>
      </c>
      <c r="K28" s="65">
        <v>14.1</v>
      </c>
      <c r="L28" s="65">
        <v>14</v>
      </c>
      <c r="M28" s="65">
        <v>14</v>
      </c>
      <c r="N28" s="65">
        <v>14</v>
      </c>
    </row>
    <row r="29" spans="1:14" x14ac:dyDescent="0.25">
      <c r="A29" s="63">
        <v>1939</v>
      </c>
      <c r="B29" s="65">
        <v>13.9</v>
      </c>
      <c r="C29" s="65">
        <v>14</v>
      </c>
      <c r="D29" s="65">
        <v>13.9</v>
      </c>
      <c r="E29" s="65">
        <v>13.9</v>
      </c>
      <c r="F29" s="65">
        <v>13.8</v>
      </c>
      <c r="G29" s="65">
        <v>13.8</v>
      </c>
      <c r="H29" s="65">
        <v>13.8</v>
      </c>
      <c r="I29" s="65">
        <v>13.8</v>
      </c>
      <c r="J29" s="65">
        <v>13.8</v>
      </c>
      <c r="K29" s="65">
        <v>14.1</v>
      </c>
      <c r="L29" s="65">
        <v>14</v>
      </c>
      <c r="M29" s="65">
        <v>14</v>
      </c>
      <c r="N29" s="65">
        <v>14</v>
      </c>
    </row>
    <row r="30" spans="1:14" x14ac:dyDescent="0.25">
      <c r="A30" s="63">
        <v>1940</v>
      </c>
      <c r="B30" s="65">
        <v>14</v>
      </c>
      <c r="C30" s="65">
        <v>13.9</v>
      </c>
      <c r="D30" s="65">
        <v>14</v>
      </c>
      <c r="E30" s="65">
        <v>14</v>
      </c>
      <c r="F30" s="65">
        <v>14</v>
      </c>
      <c r="G30" s="65">
        <v>14</v>
      </c>
      <c r="H30" s="65">
        <v>14.1</v>
      </c>
      <c r="I30" s="65">
        <v>14</v>
      </c>
      <c r="J30" s="65">
        <v>14</v>
      </c>
      <c r="K30" s="65">
        <v>14</v>
      </c>
      <c r="L30" s="65">
        <v>14</v>
      </c>
      <c r="M30" s="65">
        <v>14</v>
      </c>
      <c r="N30" s="65">
        <v>14.1</v>
      </c>
    </row>
    <row r="31" spans="1:14" x14ac:dyDescent="0.25">
      <c r="A31" s="63">
        <v>1941</v>
      </c>
      <c r="B31" s="65">
        <v>14.7</v>
      </c>
      <c r="C31" s="65">
        <v>14.1</v>
      </c>
      <c r="D31" s="65">
        <v>14.1</v>
      </c>
      <c r="E31" s="65">
        <v>14.2</v>
      </c>
      <c r="F31" s="65">
        <v>14.3</v>
      </c>
      <c r="G31" s="65">
        <v>14.4</v>
      </c>
      <c r="H31" s="65">
        <v>14.7</v>
      </c>
      <c r="I31" s="65">
        <v>14.7</v>
      </c>
      <c r="J31" s="65">
        <v>14.9</v>
      </c>
      <c r="K31" s="65">
        <v>15.1</v>
      </c>
      <c r="L31" s="65">
        <v>15.3</v>
      </c>
      <c r="M31" s="65">
        <v>15.4</v>
      </c>
      <c r="N31" s="65">
        <v>15.5</v>
      </c>
    </row>
    <row r="32" spans="1:14" x14ac:dyDescent="0.25">
      <c r="A32" s="63">
        <v>1942</v>
      </c>
      <c r="B32" s="65">
        <v>16.3</v>
      </c>
      <c r="C32" s="65">
        <v>15.7</v>
      </c>
      <c r="D32" s="65">
        <v>15.8</v>
      </c>
      <c r="E32" s="65">
        <v>16</v>
      </c>
      <c r="F32" s="65">
        <v>16.100000000000001</v>
      </c>
      <c r="G32" s="65">
        <v>16.3</v>
      </c>
      <c r="H32" s="65">
        <v>16.3</v>
      </c>
      <c r="I32" s="65">
        <v>16.399999999999999</v>
      </c>
      <c r="J32" s="65">
        <v>16.5</v>
      </c>
      <c r="K32" s="65">
        <v>16.5</v>
      </c>
      <c r="L32" s="65">
        <v>16.7</v>
      </c>
      <c r="M32" s="65">
        <v>16.8</v>
      </c>
      <c r="N32" s="65">
        <v>16.899999999999999</v>
      </c>
    </row>
    <row r="33" spans="1:14" x14ac:dyDescent="0.25">
      <c r="A33" s="63">
        <v>1943</v>
      </c>
      <c r="B33" s="65">
        <v>17.3</v>
      </c>
      <c r="C33" s="65">
        <v>16.899999999999999</v>
      </c>
      <c r="D33" s="65">
        <v>16.899999999999999</v>
      </c>
      <c r="E33" s="65">
        <v>17.2</v>
      </c>
      <c r="F33" s="65">
        <v>17.399999999999999</v>
      </c>
      <c r="G33" s="65">
        <v>17.5</v>
      </c>
      <c r="H33" s="65">
        <v>17.5</v>
      </c>
      <c r="I33" s="65">
        <v>17.399999999999999</v>
      </c>
      <c r="J33" s="65">
        <v>17.3</v>
      </c>
      <c r="K33" s="65">
        <v>17.399999999999999</v>
      </c>
      <c r="L33" s="65">
        <v>17.399999999999999</v>
      </c>
      <c r="M33" s="65">
        <v>17.399999999999999</v>
      </c>
      <c r="N33" s="65">
        <v>17.399999999999999</v>
      </c>
    </row>
    <row r="34" spans="1:14" x14ac:dyDescent="0.25">
      <c r="A34" s="63">
        <v>1944</v>
      </c>
      <c r="B34" s="65">
        <v>17.600000000000001</v>
      </c>
      <c r="C34" s="65">
        <v>17.399999999999999</v>
      </c>
      <c r="D34" s="65">
        <v>17.399999999999999</v>
      </c>
      <c r="E34" s="65">
        <v>17.399999999999999</v>
      </c>
      <c r="F34" s="65">
        <v>17.5</v>
      </c>
      <c r="G34" s="65">
        <v>17.5</v>
      </c>
      <c r="H34" s="65">
        <v>17.600000000000001</v>
      </c>
      <c r="I34" s="65">
        <v>17.7</v>
      </c>
      <c r="J34" s="65">
        <v>17.7</v>
      </c>
      <c r="K34" s="65">
        <v>17.7</v>
      </c>
      <c r="L34" s="65">
        <v>17.7</v>
      </c>
      <c r="M34" s="65">
        <v>17.7</v>
      </c>
      <c r="N34" s="65">
        <v>17.8</v>
      </c>
    </row>
    <row r="35" spans="1:14" x14ac:dyDescent="0.25">
      <c r="A35" s="63">
        <v>1945</v>
      </c>
      <c r="B35" s="65">
        <v>18</v>
      </c>
      <c r="C35" s="65">
        <v>17.8</v>
      </c>
      <c r="D35" s="65">
        <v>17.8</v>
      </c>
      <c r="E35" s="65">
        <v>17.8</v>
      </c>
      <c r="F35" s="65">
        <v>17.8</v>
      </c>
      <c r="G35" s="65">
        <v>17.899999999999999</v>
      </c>
      <c r="H35" s="65">
        <v>18.100000000000001</v>
      </c>
      <c r="I35" s="65">
        <v>18.100000000000001</v>
      </c>
      <c r="J35" s="65">
        <v>18.100000000000001</v>
      </c>
      <c r="K35" s="65">
        <v>18.100000000000001</v>
      </c>
      <c r="L35" s="65">
        <v>18.100000000000001</v>
      </c>
      <c r="M35" s="65">
        <v>18.100000000000001</v>
      </c>
      <c r="N35" s="65">
        <v>18.2</v>
      </c>
    </row>
    <row r="36" spans="1:14" x14ac:dyDescent="0.25">
      <c r="A36" s="63">
        <v>1946</v>
      </c>
      <c r="B36" s="65">
        <v>19.5</v>
      </c>
      <c r="C36" s="65">
        <v>18.2</v>
      </c>
      <c r="D36" s="65">
        <v>18.100000000000001</v>
      </c>
      <c r="E36" s="65">
        <v>18.3</v>
      </c>
      <c r="F36" s="65">
        <v>18.399999999999999</v>
      </c>
      <c r="G36" s="65">
        <v>18.5</v>
      </c>
      <c r="H36" s="65">
        <v>18.7</v>
      </c>
      <c r="I36" s="65">
        <v>19.8</v>
      </c>
      <c r="J36" s="65">
        <v>20.2</v>
      </c>
      <c r="K36" s="65">
        <v>20.399999999999999</v>
      </c>
      <c r="L36" s="65">
        <v>20.8</v>
      </c>
      <c r="M36" s="65">
        <v>21.3</v>
      </c>
      <c r="N36" s="65">
        <v>21.5</v>
      </c>
    </row>
    <row r="37" spans="1:14" x14ac:dyDescent="0.25">
      <c r="A37" s="63">
        <v>1947</v>
      </c>
      <c r="B37" s="65">
        <v>22.3</v>
      </c>
      <c r="C37" s="65">
        <v>21.5</v>
      </c>
      <c r="D37" s="65">
        <v>21.5</v>
      </c>
      <c r="E37" s="65">
        <v>21.9</v>
      </c>
      <c r="F37" s="65">
        <v>21.9</v>
      </c>
      <c r="G37" s="65">
        <v>21.9</v>
      </c>
      <c r="H37" s="65">
        <v>22</v>
      </c>
      <c r="I37" s="65">
        <v>22.2</v>
      </c>
      <c r="J37" s="65">
        <v>22.5</v>
      </c>
      <c r="K37" s="65">
        <v>23</v>
      </c>
      <c r="L37" s="65">
        <v>23</v>
      </c>
      <c r="M37" s="65">
        <v>23.1</v>
      </c>
      <c r="N37" s="65">
        <v>23.4</v>
      </c>
    </row>
    <row r="38" spans="1:14" x14ac:dyDescent="0.25">
      <c r="A38" s="63">
        <v>1948</v>
      </c>
      <c r="B38" s="65">
        <v>24.1</v>
      </c>
      <c r="C38" s="65">
        <v>23.7</v>
      </c>
      <c r="D38" s="65">
        <v>23.5</v>
      </c>
      <c r="E38" s="65">
        <v>23.4</v>
      </c>
      <c r="F38" s="65">
        <v>23.8</v>
      </c>
      <c r="G38" s="65">
        <v>23.9</v>
      </c>
      <c r="H38" s="65">
        <v>24.1</v>
      </c>
      <c r="I38" s="65">
        <v>24.4</v>
      </c>
      <c r="J38" s="65">
        <v>24.5</v>
      </c>
      <c r="K38" s="65">
        <v>24.5</v>
      </c>
      <c r="L38" s="65">
        <v>24.4</v>
      </c>
      <c r="M38" s="65">
        <v>24.2</v>
      </c>
      <c r="N38" s="65">
        <v>24.1</v>
      </c>
    </row>
    <row r="39" spans="1:14" x14ac:dyDescent="0.25">
      <c r="A39" s="63">
        <v>1949</v>
      </c>
      <c r="B39" s="65">
        <v>23.8</v>
      </c>
      <c r="C39" s="65">
        <v>24</v>
      </c>
      <c r="D39" s="65">
        <v>23.8</v>
      </c>
      <c r="E39" s="65">
        <v>23.8</v>
      </c>
      <c r="F39" s="65">
        <v>23.9</v>
      </c>
      <c r="G39" s="65">
        <v>23.8</v>
      </c>
      <c r="H39" s="65">
        <v>23.9</v>
      </c>
      <c r="I39" s="65">
        <v>23.7</v>
      </c>
      <c r="J39" s="65">
        <v>23.8</v>
      </c>
      <c r="K39" s="65">
        <v>23.9</v>
      </c>
      <c r="L39" s="65">
        <v>23.7</v>
      </c>
      <c r="M39" s="65">
        <v>23.8</v>
      </c>
      <c r="N39" s="65">
        <v>23.6</v>
      </c>
    </row>
    <row r="40" spans="1:14" x14ac:dyDescent="0.25">
      <c r="A40" s="63">
        <v>1950</v>
      </c>
      <c r="B40" s="65">
        <v>24.1</v>
      </c>
      <c r="C40" s="65">
        <v>23.5</v>
      </c>
      <c r="D40" s="65">
        <v>23.5</v>
      </c>
      <c r="E40" s="65">
        <v>23.6</v>
      </c>
      <c r="F40" s="65">
        <v>23.6</v>
      </c>
      <c r="G40" s="65">
        <v>23.7</v>
      </c>
      <c r="H40" s="65">
        <v>23.8</v>
      </c>
      <c r="I40" s="65">
        <v>24.1</v>
      </c>
      <c r="J40" s="65">
        <v>24.3</v>
      </c>
      <c r="K40" s="65">
        <v>24.4</v>
      </c>
      <c r="L40" s="65">
        <v>24.6</v>
      </c>
      <c r="M40" s="65">
        <v>24.7</v>
      </c>
      <c r="N40" s="65">
        <v>25</v>
      </c>
    </row>
    <row r="41" spans="1:14" x14ac:dyDescent="0.25">
      <c r="A41" s="63">
        <v>1951</v>
      </c>
      <c r="B41" s="65">
        <v>26</v>
      </c>
      <c r="C41" s="65">
        <v>25.4</v>
      </c>
      <c r="D41" s="65">
        <v>25.7</v>
      </c>
      <c r="E41" s="65">
        <v>25.8</v>
      </c>
      <c r="F41" s="65">
        <v>25.8</v>
      </c>
      <c r="G41" s="65">
        <v>25.9</v>
      </c>
      <c r="H41" s="65">
        <v>25.9</v>
      </c>
      <c r="I41" s="65">
        <v>25.9</v>
      </c>
      <c r="J41" s="65">
        <v>25.9</v>
      </c>
      <c r="K41" s="65">
        <v>26.1</v>
      </c>
      <c r="L41" s="65">
        <v>26.2</v>
      </c>
      <c r="M41" s="65">
        <v>26.4</v>
      </c>
      <c r="N41" s="65">
        <v>26.5</v>
      </c>
    </row>
    <row r="42" spans="1:14" x14ac:dyDescent="0.25">
      <c r="A42" s="63">
        <v>1952</v>
      </c>
      <c r="B42" s="65">
        <v>26.5</v>
      </c>
      <c r="C42" s="65">
        <v>26.5</v>
      </c>
      <c r="D42" s="65">
        <v>26.3</v>
      </c>
      <c r="E42" s="65">
        <v>26.3</v>
      </c>
      <c r="F42" s="65">
        <v>26.4</v>
      </c>
      <c r="G42" s="65">
        <v>26.4</v>
      </c>
      <c r="H42" s="65">
        <v>26.5</v>
      </c>
      <c r="I42" s="65">
        <v>26.7</v>
      </c>
      <c r="J42" s="65">
        <v>26.7</v>
      </c>
      <c r="K42" s="65">
        <v>26.7</v>
      </c>
      <c r="L42" s="65">
        <v>26.7</v>
      </c>
      <c r="M42" s="65">
        <v>26.7</v>
      </c>
      <c r="N42" s="65">
        <v>26.7</v>
      </c>
    </row>
    <row r="43" spans="1:14" x14ac:dyDescent="0.25">
      <c r="A43" s="63">
        <v>1953</v>
      </c>
      <c r="B43" s="65">
        <v>26.7</v>
      </c>
      <c r="C43" s="65">
        <v>26.6</v>
      </c>
      <c r="D43" s="65">
        <v>26.5</v>
      </c>
      <c r="E43" s="65">
        <v>26.6</v>
      </c>
      <c r="F43" s="65">
        <v>26.6</v>
      </c>
      <c r="G43" s="65">
        <v>26.7</v>
      </c>
      <c r="H43" s="65">
        <v>26.8</v>
      </c>
      <c r="I43" s="65">
        <v>26.8</v>
      </c>
      <c r="J43" s="65">
        <v>26.9</v>
      </c>
      <c r="K43" s="65">
        <v>26.9</v>
      </c>
      <c r="L43" s="65">
        <v>27</v>
      </c>
      <c r="M43" s="65">
        <v>26.9</v>
      </c>
      <c r="N43" s="65">
        <v>26.9</v>
      </c>
    </row>
    <row r="44" spans="1:14" x14ac:dyDescent="0.25">
      <c r="A44" s="63">
        <v>1954</v>
      </c>
      <c r="B44" s="65">
        <v>26.9</v>
      </c>
      <c r="C44" s="65">
        <v>26.9</v>
      </c>
      <c r="D44" s="65">
        <v>26.9</v>
      </c>
      <c r="E44" s="65">
        <v>26.9</v>
      </c>
      <c r="F44" s="65">
        <v>26.8</v>
      </c>
      <c r="G44" s="65">
        <v>26.9</v>
      </c>
      <c r="H44" s="65">
        <v>26.9</v>
      </c>
      <c r="I44" s="65">
        <v>26.9</v>
      </c>
      <c r="J44" s="65">
        <v>26.9</v>
      </c>
      <c r="K44" s="65">
        <v>26.8</v>
      </c>
      <c r="L44" s="65">
        <v>26.8</v>
      </c>
      <c r="M44" s="65">
        <v>26.8</v>
      </c>
      <c r="N44" s="65">
        <v>26.7</v>
      </c>
    </row>
    <row r="45" spans="1:14" x14ac:dyDescent="0.25">
      <c r="A45" s="63">
        <v>1955</v>
      </c>
      <c r="B45" s="65">
        <v>26.8</v>
      </c>
      <c r="C45" s="65">
        <v>26.7</v>
      </c>
      <c r="D45" s="65">
        <v>26.7</v>
      </c>
      <c r="E45" s="65">
        <v>26.7</v>
      </c>
      <c r="F45" s="65">
        <v>26.7</v>
      </c>
      <c r="G45" s="65">
        <v>26.7</v>
      </c>
      <c r="H45" s="65">
        <v>26.7</v>
      </c>
      <c r="I45" s="65">
        <v>26.8</v>
      </c>
      <c r="J45" s="65">
        <v>26.8</v>
      </c>
      <c r="K45" s="65">
        <v>26.9</v>
      </c>
      <c r="L45" s="65">
        <v>26.9</v>
      </c>
      <c r="M45" s="65">
        <v>26.9</v>
      </c>
      <c r="N45" s="65">
        <v>26.8</v>
      </c>
    </row>
    <row r="46" spans="1:14" x14ac:dyDescent="0.25">
      <c r="A46" s="63">
        <v>1956</v>
      </c>
      <c r="B46" s="65">
        <v>27.2</v>
      </c>
      <c r="C46" s="65">
        <v>26.8</v>
      </c>
      <c r="D46" s="65">
        <v>26.8</v>
      </c>
      <c r="E46" s="65">
        <v>26.8</v>
      </c>
      <c r="F46" s="65">
        <v>26.9</v>
      </c>
      <c r="G46" s="65">
        <v>27</v>
      </c>
      <c r="H46" s="65">
        <v>27.2</v>
      </c>
      <c r="I46" s="65">
        <v>27.4</v>
      </c>
      <c r="J46" s="65">
        <v>27.3</v>
      </c>
      <c r="K46" s="65">
        <v>27.4</v>
      </c>
      <c r="L46" s="65">
        <v>27.5</v>
      </c>
      <c r="M46" s="65">
        <v>27.5</v>
      </c>
      <c r="N46" s="65">
        <v>27.6</v>
      </c>
    </row>
    <row r="47" spans="1:14" x14ac:dyDescent="0.25">
      <c r="A47" s="63">
        <v>1957</v>
      </c>
      <c r="B47" s="65">
        <v>28.1</v>
      </c>
      <c r="C47" s="65">
        <v>27.6</v>
      </c>
      <c r="D47" s="65">
        <v>27.7</v>
      </c>
      <c r="E47" s="65">
        <v>27.8</v>
      </c>
      <c r="F47" s="65">
        <v>27.9</v>
      </c>
      <c r="G47" s="65">
        <v>28</v>
      </c>
      <c r="H47" s="65">
        <v>28.1</v>
      </c>
      <c r="I47" s="65">
        <v>28.3</v>
      </c>
      <c r="J47" s="65">
        <v>28.3</v>
      </c>
      <c r="K47" s="65">
        <v>28.3</v>
      </c>
      <c r="L47" s="65">
        <v>28.3</v>
      </c>
      <c r="M47" s="65">
        <v>28.4</v>
      </c>
      <c r="N47" s="65">
        <v>28.4</v>
      </c>
    </row>
    <row r="48" spans="1:14" x14ac:dyDescent="0.25">
      <c r="A48" s="63">
        <v>1958</v>
      </c>
      <c r="B48" s="65">
        <v>28.9</v>
      </c>
      <c r="C48" s="65">
        <v>28.6</v>
      </c>
      <c r="D48" s="65">
        <v>28.6</v>
      </c>
      <c r="E48" s="65">
        <v>28.8</v>
      </c>
      <c r="F48" s="65">
        <v>28.9</v>
      </c>
      <c r="G48" s="65">
        <v>28.9</v>
      </c>
      <c r="H48" s="65">
        <v>28.9</v>
      </c>
      <c r="I48" s="65">
        <v>29</v>
      </c>
      <c r="J48" s="65">
        <v>28.9</v>
      </c>
      <c r="K48" s="65">
        <v>28.9</v>
      </c>
      <c r="L48" s="65">
        <v>28.9</v>
      </c>
      <c r="M48" s="65">
        <v>29</v>
      </c>
      <c r="N48" s="65">
        <v>28.9</v>
      </c>
    </row>
    <row r="49" spans="1:14" x14ac:dyDescent="0.25">
      <c r="A49" s="63">
        <v>1959</v>
      </c>
      <c r="B49" s="65">
        <v>29.1</v>
      </c>
      <c r="C49" s="65">
        <v>29</v>
      </c>
      <c r="D49" s="65">
        <v>28.9</v>
      </c>
      <c r="E49" s="65">
        <v>28.9</v>
      </c>
      <c r="F49" s="65">
        <v>29</v>
      </c>
      <c r="G49" s="65">
        <v>29</v>
      </c>
      <c r="H49" s="65">
        <v>29.1</v>
      </c>
      <c r="I49" s="65">
        <v>29.2</v>
      </c>
      <c r="J49" s="65">
        <v>29.2</v>
      </c>
      <c r="K49" s="65">
        <v>29.3</v>
      </c>
      <c r="L49" s="65">
        <v>29.4</v>
      </c>
      <c r="M49" s="65">
        <v>29.4</v>
      </c>
      <c r="N49" s="65">
        <v>29.4</v>
      </c>
    </row>
    <row r="50" spans="1:14" x14ac:dyDescent="0.25">
      <c r="A50" s="63">
        <v>1960</v>
      </c>
      <c r="B50" s="65">
        <v>29.6</v>
      </c>
      <c r="C50" s="65">
        <v>29.3</v>
      </c>
      <c r="D50" s="65">
        <v>29.4</v>
      </c>
      <c r="E50" s="65">
        <v>29.4</v>
      </c>
      <c r="F50" s="65">
        <v>29.5</v>
      </c>
      <c r="G50" s="65">
        <v>29.5</v>
      </c>
      <c r="H50" s="65">
        <v>29.6</v>
      </c>
      <c r="I50" s="65">
        <v>29.6</v>
      </c>
      <c r="J50" s="65">
        <v>29.6</v>
      </c>
      <c r="K50" s="65">
        <v>29.6</v>
      </c>
      <c r="L50" s="65">
        <v>29.8</v>
      </c>
      <c r="M50" s="65">
        <v>29.8</v>
      </c>
      <c r="N50" s="65">
        <v>29.8</v>
      </c>
    </row>
    <row r="51" spans="1:14" x14ac:dyDescent="0.25">
      <c r="A51" s="63">
        <v>1961</v>
      </c>
      <c r="B51" s="65">
        <v>29.9</v>
      </c>
      <c r="C51" s="65">
        <v>29.8</v>
      </c>
      <c r="D51" s="65">
        <v>29.8</v>
      </c>
      <c r="E51" s="65">
        <v>29.8</v>
      </c>
      <c r="F51" s="65">
        <v>29.8</v>
      </c>
      <c r="G51" s="65">
        <v>29.8</v>
      </c>
      <c r="H51" s="65">
        <v>29.8</v>
      </c>
      <c r="I51" s="65">
        <v>30</v>
      </c>
      <c r="J51" s="65">
        <v>29.9</v>
      </c>
      <c r="K51" s="65">
        <v>30</v>
      </c>
      <c r="L51" s="65">
        <v>30</v>
      </c>
      <c r="M51" s="65">
        <v>30</v>
      </c>
      <c r="N51" s="65">
        <v>30</v>
      </c>
    </row>
    <row r="52" spans="1:14" x14ac:dyDescent="0.25">
      <c r="A52" s="63">
        <v>1962</v>
      </c>
      <c r="B52" s="65">
        <v>30.2</v>
      </c>
      <c r="C52" s="65">
        <v>30</v>
      </c>
      <c r="D52" s="65">
        <v>30.1</v>
      </c>
      <c r="E52" s="65">
        <v>30.1</v>
      </c>
      <c r="F52" s="65">
        <v>30.2</v>
      </c>
      <c r="G52" s="65">
        <v>30.2</v>
      </c>
      <c r="H52" s="65">
        <v>30.2</v>
      </c>
      <c r="I52" s="65">
        <v>30.3</v>
      </c>
      <c r="J52" s="65">
        <v>30.3</v>
      </c>
      <c r="K52" s="65">
        <v>30.4</v>
      </c>
      <c r="L52" s="65">
        <v>30.4</v>
      </c>
      <c r="M52" s="65">
        <v>30.4</v>
      </c>
      <c r="N52" s="65">
        <v>30.4</v>
      </c>
    </row>
    <row r="53" spans="1:14" x14ac:dyDescent="0.25">
      <c r="A53" s="63">
        <v>1963</v>
      </c>
      <c r="B53" s="65">
        <v>30.6</v>
      </c>
      <c r="C53" s="65">
        <v>30.4</v>
      </c>
      <c r="D53" s="65">
        <v>30.4</v>
      </c>
      <c r="E53" s="65">
        <v>30.5</v>
      </c>
      <c r="F53" s="65">
        <v>30.5</v>
      </c>
      <c r="G53" s="65">
        <v>30.5</v>
      </c>
      <c r="H53" s="65">
        <v>30.6</v>
      </c>
      <c r="I53" s="65">
        <v>30.7</v>
      </c>
      <c r="J53" s="65">
        <v>30.7</v>
      </c>
      <c r="K53" s="65">
        <v>30.7</v>
      </c>
      <c r="L53" s="65">
        <v>30.8</v>
      </c>
      <c r="M53" s="65">
        <v>30.8</v>
      </c>
      <c r="N53" s="65">
        <v>30.9</v>
      </c>
    </row>
    <row r="54" spans="1:14" x14ac:dyDescent="0.25">
      <c r="A54" s="63">
        <v>1964</v>
      </c>
      <c r="B54" s="65">
        <v>31</v>
      </c>
      <c r="C54" s="65">
        <v>30.9</v>
      </c>
      <c r="D54" s="65">
        <v>30.9</v>
      </c>
      <c r="E54" s="65">
        <v>30.9</v>
      </c>
      <c r="F54" s="65">
        <v>30.9</v>
      </c>
      <c r="G54" s="65">
        <v>30.9</v>
      </c>
      <c r="H54" s="65">
        <v>31</v>
      </c>
      <c r="I54" s="65">
        <v>31.1</v>
      </c>
      <c r="J54" s="65">
        <v>31</v>
      </c>
      <c r="K54" s="65">
        <v>31.1</v>
      </c>
      <c r="L54" s="65">
        <v>31.1</v>
      </c>
      <c r="M54" s="65">
        <v>31.2</v>
      </c>
      <c r="N54" s="65">
        <v>31.2</v>
      </c>
    </row>
    <row r="55" spans="1:14" x14ac:dyDescent="0.25">
      <c r="A55" s="63">
        <v>1965</v>
      </c>
      <c r="B55" s="65">
        <v>31.5</v>
      </c>
      <c r="C55" s="65">
        <v>31.2</v>
      </c>
      <c r="D55" s="65">
        <v>31.2</v>
      </c>
      <c r="E55" s="65">
        <v>31.3</v>
      </c>
      <c r="F55" s="65">
        <v>31.4</v>
      </c>
      <c r="G55" s="65">
        <v>31.4</v>
      </c>
      <c r="H55" s="65">
        <v>31.6</v>
      </c>
      <c r="I55" s="65">
        <v>31.6</v>
      </c>
      <c r="J55" s="65">
        <v>31.6</v>
      </c>
      <c r="K55" s="65">
        <v>31.6</v>
      </c>
      <c r="L55" s="65">
        <v>31.7</v>
      </c>
      <c r="M55" s="65">
        <v>31.7</v>
      </c>
      <c r="N55" s="65">
        <v>31.8</v>
      </c>
    </row>
    <row r="56" spans="1:14" x14ac:dyDescent="0.25">
      <c r="A56" s="63">
        <v>1966</v>
      </c>
      <c r="B56" s="65">
        <v>32.4</v>
      </c>
      <c r="C56" s="65">
        <v>31.8</v>
      </c>
      <c r="D56" s="65">
        <v>32</v>
      </c>
      <c r="E56" s="65">
        <v>32.1</v>
      </c>
      <c r="F56" s="65">
        <v>32.299999999999997</v>
      </c>
      <c r="G56" s="65">
        <v>32.299999999999997</v>
      </c>
      <c r="H56" s="65">
        <v>32.4</v>
      </c>
      <c r="I56" s="65">
        <v>32.5</v>
      </c>
      <c r="J56" s="65">
        <v>32.700000000000003</v>
      </c>
      <c r="K56" s="65">
        <v>32.700000000000003</v>
      </c>
      <c r="L56" s="65">
        <v>32.9</v>
      </c>
      <c r="M56" s="65">
        <v>32.9</v>
      </c>
      <c r="N56" s="65">
        <v>32.9</v>
      </c>
    </row>
    <row r="57" spans="1:14" x14ac:dyDescent="0.25">
      <c r="A57" s="63">
        <v>1967</v>
      </c>
      <c r="B57" s="65">
        <v>33.4</v>
      </c>
      <c r="C57" s="65">
        <v>32.9</v>
      </c>
      <c r="D57" s="65">
        <v>32.9</v>
      </c>
      <c r="E57" s="65">
        <v>33</v>
      </c>
      <c r="F57" s="65">
        <v>33.1</v>
      </c>
      <c r="G57" s="65">
        <v>33.200000000000003</v>
      </c>
      <c r="H57" s="65">
        <v>33.299999999999997</v>
      </c>
      <c r="I57" s="65">
        <v>33.4</v>
      </c>
      <c r="J57" s="65">
        <v>33.5</v>
      </c>
      <c r="K57" s="65">
        <v>33.6</v>
      </c>
      <c r="L57" s="65">
        <v>33.700000000000003</v>
      </c>
      <c r="M57" s="65">
        <v>33.799999999999997</v>
      </c>
      <c r="N57" s="65">
        <v>33.9</v>
      </c>
    </row>
    <row r="58" spans="1:14" x14ac:dyDescent="0.25">
      <c r="A58" s="63">
        <v>1968</v>
      </c>
      <c r="B58" s="65">
        <v>34.799999999999997</v>
      </c>
      <c r="C58" s="65">
        <v>34.1</v>
      </c>
      <c r="D58" s="65">
        <v>34.200000000000003</v>
      </c>
      <c r="E58" s="65">
        <v>34.299999999999997</v>
      </c>
      <c r="F58" s="65">
        <v>34.4</v>
      </c>
      <c r="G58" s="65">
        <v>34.5</v>
      </c>
      <c r="H58" s="65">
        <v>34.700000000000003</v>
      </c>
      <c r="I58" s="65">
        <v>34.9</v>
      </c>
      <c r="J58" s="65">
        <v>35</v>
      </c>
      <c r="K58" s="65">
        <v>35.1</v>
      </c>
      <c r="L58" s="65">
        <v>35.299999999999997</v>
      </c>
      <c r="M58" s="65">
        <v>35.4</v>
      </c>
      <c r="N58" s="65">
        <v>35.5</v>
      </c>
    </row>
    <row r="59" spans="1:14" x14ac:dyDescent="0.25">
      <c r="A59" s="63">
        <v>1969</v>
      </c>
      <c r="B59" s="65">
        <v>36.700000000000003</v>
      </c>
      <c r="C59" s="65">
        <v>35.6</v>
      </c>
      <c r="D59" s="65">
        <v>35.799999999999997</v>
      </c>
      <c r="E59" s="65">
        <v>36.1</v>
      </c>
      <c r="F59" s="65">
        <v>36.299999999999997</v>
      </c>
      <c r="G59" s="65">
        <v>36.4</v>
      </c>
      <c r="H59" s="65">
        <v>36.6</v>
      </c>
      <c r="I59" s="65">
        <v>36.799999999999997</v>
      </c>
      <c r="J59" s="65">
        <v>37</v>
      </c>
      <c r="K59" s="65">
        <v>37.1</v>
      </c>
      <c r="L59" s="65">
        <v>37.299999999999997</v>
      </c>
      <c r="M59" s="65">
        <v>37.5</v>
      </c>
      <c r="N59" s="65">
        <v>37.700000000000003</v>
      </c>
    </row>
    <row r="60" spans="1:14" x14ac:dyDescent="0.25">
      <c r="A60" s="63">
        <v>1970</v>
      </c>
      <c r="B60" s="65">
        <v>38.799999999999997</v>
      </c>
      <c r="C60" s="65">
        <v>37.799999999999997</v>
      </c>
      <c r="D60" s="65">
        <v>38</v>
      </c>
      <c r="E60" s="65">
        <v>38.200000000000003</v>
      </c>
      <c r="F60" s="65">
        <v>38.5</v>
      </c>
      <c r="G60" s="65">
        <v>38.6</v>
      </c>
      <c r="H60" s="65">
        <v>38.799999999999997</v>
      </c>
      <c r="I60" s="65">
        <v>39</v>
      </c>
      <c r="J60" s="65">
        <v>39</v>
      </c>
      <c r="K60" s="65">
        <v>39.200000000000003</v>
      </c>
      <c r="L60" s="65">
        <v>39.4</v>
      </c>
      <c r="M60" s="65">
        <v>39.6</v>
      </c>
      <c r="N60" s="65">
        <v>39.799999999999997</v>
      </c>
    </row>
    <row r="61" spans="1:14" x14ac:dyDescent="0.25">
      <c r="A61" s="63">
        <v>1971</v>
      </c>
      <c r="B61" s="65">
        <v>40.5</v>
      </c>
      <c r="C61" s="65">
        <v>39.799999999999997</v>
      </c>
      <c r="D61" s="65">
        <v>39.9</v>
      </c>
      <c r="E61" s="65">
        <v>40</v>
      </c>
      <c r="F61" s="65">
        <v>40.1</v>
      </c>
      <c r="G61" s="65">
        <v>40.299999999999997</v>
      </c>
      <c r="H61" s="65">
        <v>40.6</v>
      </c>
      <c r="I61" s="65">
        <v>40.700000000000003</v>
      </c>
      <c r="J61" s="65">
        <v>40.799999999999997</v>
      </c>
      <c r="K61" s="65">
        <v>40.799999999999997</v>
      </c>
      <c r="L61" s="65">
        <v>40.9</v>
      </c>
      <c r="M61" s="65">
        <v>40.9</v>
      </c>
      <c r="N61" s="65">
        <v>41.1</v>
      </c>
    </row>
    <row r="62" spans="1:14" x14ac:dyDescent="0.25">
      <c r="A62" s="63">
        <v>1972</v>
      </c>
      <c r="B62" s="65">
        <v>41.8</v>
      </c>
      <c r="C62" s="65">
        <v>41.1</v>
      </c>
      <c r="D62" s="65">
        <v>41.3</v>
      </c>
      <c r="E62" s="65">
        <v>41.4</v>
      </c>
      <c r="F62" s="65">
        <v>41.5</v>
      </c>
      <c r="G62" s="65">
        <v>41.6</v>
      </c>
      <c r="H62" s="65">
        <v>41.7</v>
      </c>
      <c r="I62" s="65">
        <v>41.9</v>
      </c>
      <c r="J62" s="65">
        <v>42</v>
      </c>
      <c r="K62" s="65">
        <v>42.1</v>
      </c>
      <c r="L62" s="65">
        <v>42.3</v>
      </c>
      <c r="M62" s="65">
        <v>42.4</v>
      </c>
      <c r="N62" s="65">
        <v>42.5</v>
      </c>
    </row>
    <row r="63" spans="1:14" x14ac:dyDescent="0.25">
      <c r="A63" s="63">
        <v>1973</v>
      </c>
      <c r="B63" s="65">
        <v>44.4</v>
      </c>
      <c r="C63" s="65">
        <v>42.6</v>
      </c>
      <c r="D63" s="65">
        <v>42.9</v>
      </c>
      <c r="E63" s="65">
        <v>43.3</v>
      </c>
      <c r="F63" s="65">
        <v>43.6</v>
      </c>
      <c r="G63" s="65">
        <v>43.9</v>
      </c>
      <c r="H63" s="65">
        <v>44.2</v>
      </c>
      <c r="I63" s="65">
        <v>44.3</v>
      </c>
      <c r="J63" s="65">
        <v>45.1</v>
      </c>
      <c r="K63" s="65">
        <v>45.2</v>
      </c>
      <c r="L63" s="65">
        <v>45.6</v>
      </c>
      <c r="M63" s="65">
        <v>45.9</v>
      </c>
      <c r="N63" s="65">
        <v>46.2</v>
      </c>
    </row>
    <row r="64" spans="1:14" x14ac:dyDescent="0.25">
      <c r="A64" s="63">
        <v>1974</v>
      </c>
      <c r="B64" s="65">
        <v>49.3</v>
      </c>
      <c r="C64" s="65">
        <v>46.6</v>
      </c>
      <c r="D64" s="65">
        <v>47.2</v>
      </c>
      <c r="E64" s="65">
        <v>47.8</v>
      </c>
      <c r="F64" s="65">
        <v>48</v>
      </c>
      <c r="G64" s="65">
        <v>48.6</v>
      </c>
      <c r="H64" s="65">
        <v>49</v>
      </c>
      <c r="I64" s="65">
        <v>49.4</v>
      </c>
      <c r="J64" s="65">
        <v>50</v>
      </c>
      <c r="K64" s="65">
        <v>50.6</v>
      </c>
      <c r="L64" s="65">
        <v>51.1</v>
      </c>
      <c r="M64" s="65">
        <v>51.5</v>
      </c>
      <c r="N64" s="65">
        <v>51.9</v>
      </c>
    </row>
    <row r="65" spans="1:14" x14ac:dyDescent="0.25">
      <c r="A65" s="63">
        <v>1975</v>
      </c>
      <c r="B65" s="65">
        <v>53.8</v>
      </c>
      <c r="C65" s="65">
        <v>52.1</v>
      </c>
      <c r="D65" s="65">
        <v>52.5</v>
      </c>
      <c r="E65" s="65">
        <v>52.7</v>
      </c>
      <c r="F65" s="65">
        <v>52.9</v>
      </c>
      <c r="G65" s="65">
        <v>53.2</v>
      </c>
      <c r="H65" s="65">
        <v>53.6</v>
      </c>
      <c r="I65" s="65">
        <v>54.2</v>
      </c>
      <c r="J65" s="65">
        <v>54.3</v>
      </c>
      <c r="K65" s="65">
        <v>54.6</v>
      </c>
      <c r="L65" s="65">
        <v>54.9</v>
      </c>
      <c r="M65" s="65">
        <v>55.3</v>
      </c>
      <c r="N65" s="65">
        <v>55.5</v>
      </c>
    </row>
    <row r="66" spans="1:14" x14ac:dyDescent="0.25">
      <c r="A66" s="63">
        <v>1976</v>
      </c>
      <c r="B66" s="65">
        <v>56.9</v>
      </c>
      <c r="C66" s="65">
        <v>55.6</v>
      </c>
      <c r="D66" s="65">
        <v>55.8</v>
      </c>
      <c r="E66" s="65">
        <v>55.9</v>
      </c>
      <c r="F66" s="65">
        <v>56.1</v>
      </c>
      <c r="G66" s="65">
        <v>56.5</v>
      </c>
      <c r="H66" s="65">
        <v>56.8</v>
      </c>
      <c r="I66" s="65">
        <v>57.1</v>
      </c>
      <c r="J66" s="65">
        <v>57.4</v>
      </c>
      <c r="K66" s="65">
        <v>57.6</v>
      </c>
      <c r="L66" s="65">
        <v>57.9</v>
      </c>
      <c r="M66" s="65">
        <v>58</v>
      </c>
      <c r="N66" s="65">
        <v>58.2</v>
      </c>
    </row>
    <row r="67" spans="1:14" x14ac:dyDescent="0.25">
      <c r="A67" s="63">
        <v>1977</v>
      </c>
      <c r="B67" s="65">
        <v>60.6</v>
      </c>
      <c r="C67" s="65">
        <v>58.5</v>
      </c>
      <c r="D67" s="65">
        <v>59.1</v>
      </c>
      <c r="E67" s="65">
        <v>59.5</v>
      </c>
      <c r="F67" s="65">
        <v>60</v>
      </c>
      <c r="G67" s="65">
        <v>60.3</v>
      </c>
      <c r="H67" s="65">
        <v>60.7</v>
      </c>
      <c r="I67" s="65">
        <v>61</v>
      </c>
      <c r="J67" s="65">
        <v>61.2</v>
      </c>
      <c r="K67" s="65">
        <v>61.4</v>
      </c>
      <c r="L67" s="65">
        <v>61.6</v>
      </c>
      <c r="M67" s="65">
        <v>61.9</v>
      </c>
      <c r="N67" s="65">
        <v>62.1</v>
      </c>
    </row>
    <row r="68" spans="1:14" x14ac:dyDescent="0.25">
      <c r="A68" s="63">
        <v>1978</v>
      </c>
      <c r="B68" s="65">
        <v>65.2</v>
      </c>
      <c r="C68" s="65">
        <v>62.5</v>
      </c>
      <c r="D68" s="65">
        <v>62.9</v>
      </c>
      <c r="E68" s="65">
        <v>63.4</v>
      </c>
      <c r="F68" s="65">
        <v>63.9</v>
      </c>
      <c r="G68" s="65">
        <v>64.5</v>
      </c>
      <c r="H68" s="65">
        <v>65.2</v>
      </c>
      <c r="I68" s="65">
        <v>65.7</v>
      </c>
      <c r="J68" s="65">
        <v>66</v>
      </c>
      <c r="K68" s="65">
        <v>66.5</v>
      </c>
      <c r="L68" s="65">
        <v>67.099999999999994</v>
      </c>
      <c r="M68" s="65">
        <v>67.400000000000006</v>
      </c>
      <c r="N68" s="65">
        <v>67.7</v>
      </c>
    </row>
    <row r="69" spans="1:14" x14ac:dyDescent="0.25">
      <c r="A69" s="63">
        <v>1979</v>
      </c>
      <c r="B69" s="65">
        <v>72.599999999999994</v>
      </c>
      <c r="C69" s="65">
        <v>68.3</v>
      </c>
      <c r="D69" s="65">
        <v>69.099999999999994</v>
      </c>
      <c r="E69" s="65">
        <v>69.8</v>
      </c>
      <c r="F69" s="65">
        <v>70.599999999999994</v>
      </c>
      <c r="G69" s="65">
        <v>71.5</v>
      </c>
      <c r="H69" s="65">
        <v>72.3</v>
      </c>
      <c r="I69" s="65">
        <v>73.099999999999994</v>
      </c>
      <c r="J69" s="65">
        <v>73.8</v>
      </c>
      <c r="K69" s="65">
        <v>74.599999999999994</v>
      </c>
      <c r="L69" s="65">
        <v>75.2</v>
      </c>
      <c r="M69" s="65">
        <v>75.900000000000006</v>
      </c>
      <c r="N69" s="65">
        <v>76.7</v>
      </c>
    </row>
    <row r="70" spans="1:14" x14ac:dyDescent="0.25">
      <c r="A70" s="63">
        <v>1980</v>
      </c>
      <c r="B70" s="65">
        <v>82.4</v>
      </c>
      <c r="C70" s="65">
        <v>77.8</v>
      </c>
      <c r="D70" s="65">
        <v>78.900000000000006</v>
      </c>
      <c r="E70" s="65">
        <v>80.099999999999994</v>
      </c>
      <c r="F70" s="65">
        <v>81</v>
      </c>
      <c r="G70" s="65">
        <v>81.8</v>
      </c>
      <c r="H70" s="65">
        <v>82.7</v>
      </c>
      <c r="I70" s="65">
        <v>82.7</v>
      </c>
      <c r="J70" s="65">
        <v>83.3</v>
      </c>
      <c r="K70" s="65">
        <v>84</v>
      </c>
      <c r="L70" s="65">
        <v>84.8</v>
      </c>
      <c r="M70" s="65">
        <v>85.5</v>
      </c>
      <c r="N70" s="65">
        <v>86.3</v>
      </c>
    </row>
    <row r="71" spans="1:14" x14ac:dyDescent="0.25">
      <c r="A71" s="63">
        <v>1981</v>
      </c>
      <c r="B71" s="65">
        <v>90.9</v>
      </c>
      <c r="C71" s="65">
        <v>87</v>
      </c>
      <c r="D71" s="65">
        <v>87.9</v>
      </c>
      <c r="E71" s="65">
        <v>88.5</v>
      </c>
      <c r="F71" s="65">
        <v>89.1</v>
      </c>
      <c r="G71" s="65">
        <v>89.8</v>
      </c>
      <c r="H71" s="65">
        <v>90.6</v>
      </c>
      <c r="I71" s="65">
        <v>91.6</v>
      </c>
      <c r="J71" s="65">
        <v>92.3</v>
      </c>
      <c r="K71" s="65">
        <v>93.2</v>
      </c>
      <c r="L71" s="65">
        <v>93.4</v>
      </c>
      <c r="M71" s="65">
        <v>93.7</v>
      </c>
      <c r="N71" s="65">
        <v>94</v>
      </c>
    </row>
    <row r="72" spans="1:14" x14ac:dyDescent="0.25">
      <c r="A72" s="63">
        <v>1982</v>
      </c>
      <c r="B72" s="65">
        <v>96.5</v>
      </c>
      <c r="C72" s="65">
        <v>94.3</v>
      </c>
      <c r="D72" s="65">
        <v>94.6</v>
      </c>
      <c r="E72" s="65">
        <v>94.5</v>
      </c>
      <c r="F72" s="65">
        <v>94.9</v>
      </c>
      <c r="G72" s="65">
        <v>95.8</v>
      </c>
      <c r="H72" s="65">
        <v>97</v>
      </c>
      <c r="I72" s="65">
        <v>97.5</v>
      </c>
      <c r="J72" s="65">
        <v>97.7</v>
      </c>
      <c r="K72" s="65">
        <v>97.9</v>
      </c>
      <c r="L72" s="65">
        <v>98.2</v>
      </c>
      <c r="M72" s="65">
        <v>98</v>
      </c>
      <c r="N72" s="65">
        <v>97.6</v>
      </c>
    </row>
    <row r="73" spans="1:14" x14ac:dyDescent="0.25">
      <c r="A73" s="63">
        <v>1983</v>
      </c>
      <c r="B73" s="65">
        <v>99.6</v>
      </c>
      <c r="C73" s="65">
        <v>97.8</v>
      </c>
      <c r="D73" s="65">
        <v>97.9</v>
      </c>
      <c r="E73" s="65">
        <v>97.9</v>
      </c>
      <c r="F73" s="65">
        <v>98.6</v>
      </c>
      <c r="G73" s="65">
        <v>99.2</v>
      </c>
      <c r="H73" s="65">
        <v>99.5</v>
      </c>
      <c r="I73" s="65">
        <v>99.9</v>
      </c>
      <c r="J73" s="65">
        <v>100.2</v>
      </c>
      <c r="K73" s="65">
        <v>100.7</v>
      </c>
      <c r="L73" s="65">
        <v>101</v>
      </c>
      <c r="M73" s="65">
        <v>101.2</v>
      </c>
      <c r="N73" s="65">
        <v>101.3</v>
      </c>
    </row>
    <row r="74" spans="1:14" x14ac:dyDescent="0.25">
      <c r="A74" s="63">
        <v>1984</v>
      </c>
      <c r="B74" s="65">
        <v>103.9</v>
      </c>
      <c r="C74" s="65">
        <v>101.9</v>
      </c>
      <c r="D74" s="65">
        <v>102.4</v>
      </c>
      <c r="E74" s="65">
        <v>102.6</v>
      </c>
      <c r="F74" s="65">
        <v>103.1</v>
      </c>
      <c r="G74" s="65">
        <v>103.4</v>
      </c>
      <c r="H74" s="65">
        <v>103.7</v>
      </c>
      <c r="I74" s="65">
        <v>104.1</v>
      </c>
      <c r="J74" s="65">
        <v>104.5</v>
      </c>
      <c r="K74" s="65">
        <v>105</v>
      </c>
      <c r="L74" s="65">
        <v>105.3</v>
      </c>
      <c r="M74" s="65">
        <v>105.3</v>
      </c>
      <c r="N74" s="65">
        <v>105.3</v>
      </c>
    </row>
    <row r="75" spans="1:14" x14ac:dyDescent="0.25">
      <c r="A75" s="63">
        <v>1985</v>
      </c>
      <c r="B75" s="65">
        <v>107.6</v>
      </c>
      <c r="C75" s="65">
        <v>105.5</v>
      </c>
      <c r="D75" s="65">
        <v>106</v>
      </c>
      <c r="E75" s="65">
        <v>106.4</v>
      </c>
      <c r="F75" s="65">
        <v>106.9</v>
      </c>
      <c r="G75" s="65">
        <v>107.3</v>
      </c>
      <c r="H75" s="65">
        <v>107.6</v>
      </c>
      <c r="I75" s="65">
        <v>107.8</v>
      </c>
      <c r="J75" s="65">
        <v>108</v>
      </c>
      <c r="K75" s="65">
        <v>108.3</v>
      </c>
      <c r="L75" s="65">
        <v>108.7</v>
      </c>
      <c r="M75" s="65">
        <v>109</v>
      </c>
      <c r="N75" s="65">
        <v>109.3</v>
      </c>
    </row>
    <row r="76" spans="1:14" x14ac:dyDescent="0.25">
      <c r="A76" s="63">
        <v>1986</v>
      </c>
      <c r="B76" s="65">
        <v>109.6</v>
      </c>
      <c r="C76" s="65">
        <v>109.6</v>
      </c>
      <c r="D76" s="65">
        <v>109.3</v>
      </c>
      <c r="E76" s="65">
        <v>108.8</v>
      </c>
      <c r="F76" s="65">
        <v>108.6</v>
      </c>
      <c r="G76" s="65">
        <v>108.9</v>
      </c>
      <c r="H76" s="65">
        <v>109.5</v>
      </c>
      <c r="I76" s="65">
        <v>109.5</v>
      </c>
      <c r="J76" s="65">
        <v>109.7</v>
      </c>
      <c r="K76" s="65">
        <v>110.2</v>
      </c>
      <c r="L76" s="65">
        <v>110.3</v>
      </c>
      <c r="M76" s="65">
        <v>110.4</v>
      </c>
      <c r="N76" s="65">
        <v>110.5</v>
      </c>
    </row>
    <row r="77" spans="1:14" x14ac:dyDescent="0.25">
      <c r="A77" s="63">
        <v>1987</v>
      </c>
      <c r="B77" s="65">
        <v>113.6</v>
      </c>
      <c r="C77" s="65">
        <v>111.2</v>
      </c>
      <c r="D77" s="65">
        <v>111.6</v>
      </c>
      <c r="E77" s="65">
        <v>112.1</v>
      </c>
      <c r="F77" s="65">
        <v>112.7</v>
      </c>
      <c r="G77" s="65">
        <v>113.1</v>
      </c>
      <c r="H77" s="65">
        <v>113.5</v>
      </c>
      <c r="I77" s="65">
        <v>113.8</v>
      </c>
      <c r="J77" s="65">
        <v>114.4</v>
      </c>
      <c r="K77" s="65">
        <v>115</v>
      </c>
      <c r="L77" s="65">
        <v>115.3</v>
      </c>
      <c r="M77" s="65">
        <v>115.4</v>
      </c>
      <c r="N77" s="65">
        <v>115.4</v>
      </c>
    </row>
    <row r="78" spans="1:14" x14ac:dyDescent="0.25">
      <c r="A78" s="63">
        <v>1988</v>
      </c>
      <c r="B78" s="65">
        <v>118.3</v>
      </c>
      <c r="C78" s="65">
        <v>115.7</v>
      </c>
      <c r="D78" s="65">
        <v>116</v>
      </c>
      <c r="E78" s="65">
        <v>116.5</v>
      </c>
      <c r="F78" s="65">
        <v>117.1</v>
      </c>
      <c r="G78" s="65">
        <v>117.5</v>
      </c>
      <c r="H78" s="65">
        <v>118</v>
      </c>
      <c r="I78" s="65">
        <v>118.5</v>
      </c>
      <c r="J78" s="65">
        <v>119</v>
      </c>
      <c r="K78" s="65">
        <v>119.8</v>
      </c>
      <c r="L78" s="65">
        <v>120.2</v>
      </c>
      <c r="M78" s="65">
        <v>120.3</v>
      </c>
      <c r="N78" s="65">
        <v>120.5</v>
      </c>
    </row>
    <row r="79" spans="1:14" x14ac:dyDescent="0.25">
      <c r="A79" s="63">
        <v>1989</v>
      </c>
      <c r="B79" s="65">
        <v>124</v>
      </c>
      <c r="C79" s="65">
        <v>121.1</v>
      </c>
      <c r="D79" s="65">
        <v>121.6</v>
      </c>
      <c r="E79" s="65">
        <v>122.3</v>
      </c>
      <c r="F79" s="65">
        <v>123.1</v>
      </c>
      <c r="G79" s="65">
        <v>123.8</v>
      </c>
      <c r="H79" s="65">
        <v>124.1</v>
      </c>
      <c r="I79" s="65">
        <v>124.4</v>
      </c>
      <c r="J79" s="65">
        <v>124.6</v>
      </c>
      <c r="K79" s="65">
        <v>125</v>
      </c>
      <c r="L79" s="65">
        <v>125.6</v>
      </c>
      <c r="M79" s="65">
        <v>125.9</v>
      </c>
      <c r="N79" s="65">
        <v>126.1</v>
      </c>
    </row>
    <row r="80" spans="1:14" x14ac:dyDescent="0.25">
      <c r="A80" s="63">
        <v>1990</v>
      </c>
      <c r="B80" s="65">
        <v>130.69999999999999</v>
      </c>
      <c r="C80" s="65">
        <v>127.4</v>
      </c>
      <c r="D80" s="65">
        <v>128</v>
      </c>
      <c r="E80" s="65">
        <v>128.69999999999999</v>
      </c>
      <c r="F80" s="65">
        <v>128.9</v>
      </c>
      <c r="G80" s="65">
        <v>129.19999999999999</v>
      </c>
      <c r="H80" s="65">
        <v>129.9</v>
      </c>
      <c r="I80" s="65">
        <v>130.4</v>
      </c>
      <c r="J80" s="65">
        <v>131.6</v>
      </c>
      <c r="K80" s="65">
        <v>132.69999999999999</v>
      </c>
      <c r="L80" s="65">
        <v>133.5</v>
      </c>
      <c r="M80" s="65">
        <v>133.80000000000001</v>
      </c>
      <c r="N80" s="65">
        <v>133.80000000000001</v>
      </c>
    </row>
    <row r="81" spans="1:14" x14ac:dyDescent="0.25">
      <c r="A81" s="63">
        <v>1991</v>
      </c>
      <c r="B81" s="65">
        <v>136.19999999999999</v>
      </c>
      <c r="C81" s="65">
        <v>134.6</v>
      </c>
      <c r="D81" s="65">
        <v>134.80000000000001</v>
      </c>
      <c r="E81" s="65">
        <v>135</v>
      </c>
      <c r="F81" s="65">
        <v>135.19999999999999</v>
      </c>
      <c r="G81" s="65">
        <v>135.6</v>
      </c>
      <c r="H81" s="65">
        <v>136</v>
      </c>
      <c r="I81" s="65">
        <v>136.19999999999999</v>
      </c>
      <c r="J81" s="65">
        <v>136.6</v>
      </c>
      <c r="K81" s="65">
        <v>137.19999999999999</v>
      </c>
      <c r="L81" s="65">
        <v>137.4</v>
      </c>
      <c r="M81" s="65">
        <v>137.80000000000001</v>
      </c>
      <c r="N81" s="65">
        <v>137.9</v>
      </c>
    </row>
    <row r="82" spans="1:14" x14ac:dyDescent="0.25">
      <c r="A82" s="63">
        <v>1992</v>
      </c>
      <c r="B82" s="65">
        <v>140.30000000000001</v>
      </c>
      <c r="C82" s="65">
        <v>138.1</v>
      </c>
      <c r="D82" s="65">
        <v>138.6</v>
      </c>
      <c r="E82" s="65">
        <v>139.30000000000001</v>
      </c>
      <c r="F82" s="65">
        <v>139.5</v>
      </c>
      <c r="G82" s="65">
        <v>139.69999999999999</v>
      </c>
      <c r="H82" s="65">
        <v>140.19999999999999</v>
      </c>
      <c r="I82" s="65">
        <v>140.5</v>
      </c>
      <c r="J82" s="65">
        <v>140.9</v>
      </c>
      <c r="K82" s="65">
        <v>141.30000000000001</v>
      </c>
      <c r="L82" s="65">
        <v>141.80000000000001</v>
      </c>
      <c r="M82" s="65">
        <v>142</v>
      </c>
      <c r="N82" s="65">
        <v>141.9</v>
      </c>
    </row>
    <row r="83" spans="1:14" x14ac:dyDescent="0.25">
      <c r="A83" s="63">
        <v>1993</v>
      </c>
      <c r="B83" s="65">
        <v>144.5</v>
      </c>
      <c r="C83" s="65">
        <v>142.6</v>
      </c>
      <c r="D83" s="65">
        <v>143.1</v>
      </c>
      <c r="E83" s="65">
        <v>143.6</v>
      </c>
      <c r="F83" s="65">
        <v>144</v>
      </c>
      <c r="G83" s="65">
        <v>144.19999999999999</v>
      </c>
      <c r="H83" s="65">
        <v>144.4</v>
      </c>
      <c r="I83" s="65">
        <v>144.4</v>
      </c>
      <c r="J83" s="65">
        <v>144.80000000000001</v>
      </c>
      <c r="K83" s="65">
        <v>145.1</v>
      </c>
      <c r="L83" s="65">
        <v>145.69999999999999</v>
      </c>
      <c r="M83" s="65">
        <v>145.80000000000001</v>
      </c>
      <c r="N83" s="65">
        <v>145.80000000000001</v>
      </c>
    </row>
    <row r="84" spans="1:14" x14ac:dyDescent="0.25">
      <c r="A84" s="63">
        <v>1994</v>
      </c>
      <c r="B84" s="65">
        <v>148.19999999999999</v>
      </c>
      <c r="C84" s="65">
        <v>146.19999999999999</v>
      </c>
      <c r="D84" s="65">
        <v>146.69999999999999</v>
      </c>
      <c r="E84" s="65">
        <v>147.19999999999999</v>
      </c>
      <c r="F84" s="65">
        <v>147.4</v>
      </c>
      <c r="G84" s="65">
        <v>147.5</v>
      </c>
      <c r="H84" s="65">
        <v>148</v>
      </c>
      <c r="I84" s="65">
        <v>148.4</v>
      </c>
      <c r="J84" s="65">
        <v>149</v>
      </c>
      <c r="K84" s="65">
        <v>149.4</v>
      </c>
      <c r="L84" s="65">
        <v>149.5</v>
      </c>
      <c r="M84" s="65">
        <v>149.69999999999999</v>
      </c>
      <c r="N84" s="65">
        <v>149.69999999999999</v>
      </c>
    </row>
    <row r="85" spans="1:14" x14ac:dyDescent="0.25">
      <c r="A85" s="63">
        <v>1995</v>
      </c>
      <c r="B85" s="65">
        <v>152.4</v>
      </c>
      <c r="C85" s="65">
        <v>150.30000000000001</v>
      </c>
      <c r="D85" s="65">
        <v>150.9</v>
      </c>
      <c r="E85" s="65">
        <v>151.4</v>
      </c>
      <c r="F85" s="65">
        <v>151.9</v>
      </c>
      <c r="G85" s="65">
        <v>152.19999999999999</v>
      </c>
      <c r="H85" s="65">
        <v>152.5</v>
      </c>
      <c r="I85" s="65">
        <v>152.5</v>
      </c>
      <c r="J85" s="65">
        <v>152.9</v>
      </c>
      <c r="K85" s="65">
        <v>153.19999999999999</v>
      </c>
      <c r="L85" s="65">
        <v>153.69999999999999</v>
      </c>
      <c r="M85" s="65">
        <v>153.6</v>
      </c>
      <c r="N85" s="65">
        <v>153.5</v>
      </c>
    </row>
    <row r="86" spans="1:14" x14ac:dyDescent="0.25">
      <c r="A86" s="63">
        <v>1996</v>
      </c>
      <c r="B86" s="65">
        <v>156.9</v>
      </c>
      <c r="C86" s="65">
        <v>154.4</v>
      </c>
      <c r="D86" s="65">
        <v>154.9</v>
      </c>
      <c r="E86" s="65">
        <v>155.69999999999999</v>
      </c>
      <c r="F86" s="65">
        <v>156.30000000000001</v>
      </c>
      <c r="G86" s="65">
        <v>156.6</v>
      </c>
      <c r="H86" s="65">
        <v>156.69999999999999</v>
      </c>
      <c r="I86" s="65">
        <v>157</v>
      </c>
      <c r="J86" s="65">
        <v>157.30000000000001</v>
      </c>
      <c r="K86" s="65">
        <v>157.80000000000001</v>
      </c>
      <c r="L86" s="65">
        <v>158.30000000000001</v>
      </c>
      <c r="M86" s="65">
        <v>158.6</v>
      </c>
      <c r="N86" s="65">
        <v>158.6</v>
      </c>
    </row>
    <row r="87" spans="1:14" x14ac:dyDescent="0.25">
      <c r="A87" s="63">
        <v>1997</v>
      </c>
      <c r="B87" s="65">
        <v>160.5</v>
      </c>
      <c r="C87" s="65">
        <v>159.1</v>
      </c>
      <c r="D87" s="65">
        <v>159.6</v>
      </c>
      <c r="E87" s="65">
        <v>160</v>
      </c>
      <c r="F87" s="65">
        <v>160.19999999999999</v>
      </c>
      <c r="G87" s="65">
        <v>160.1</v>
      </c>
      <c r="H87" s="65">
        <v>160.30000000000001</v>
      </c>
      <c r="I87" s="65">
        <v>160.5</v>
      </c>
      <c r="J87" s="65">
        <v>160.80000000000001</v>
      </c>
      <c r="K87" s="65">
        <v>161.19999999999999</v>
      </c>
      <c r="L87" s="65">
        <v>161.6</v>
      </c>
      <c r="M87" s="65">
        <v>161.5</v>
      </c>
      <c r="N87" s="65">
        <v>161.30000000000001</v>
      </c>
    </row>
    <row r="88" spans="1:14" x14ac:dyDescent="0.25">
      <c r="A88" s="63">
        <v>1998</v>
      </c>
      <c r="B88" s="65">
        <v>163</v>
      </c>
      <c r="C88" s="65">
        <v>161.6</v>
      </c>
      <c r="D88" s="65">
        <v>161.9</v>
      </c>
      <c r="E88" s="65">
        <v>162.19999999999999</v>
      </c>
      <c r="F88" s="65">
        <v>162.5</v>
      </c>
      <c r="G88" s="65">
        <v>162.80000000000001</v>
      </c>
      <c r="H88" s="65">
        <v>163</v>
      </c>
      <c r="I88" s="65">
        <v>163.19999999999999</v>
      </c>
      <c r="J88" s="65">
        <v>163.4</v>
      </c>
      <c r="K88" s="65">
        <v>163.6</v>
      </c>
      <c r="L88" s="65">
        <v>164</v>
      </c>
      <c r="M88" s="65">
        <v>164</v>
      </c>
      <c r="N88" s="65">
        <v>163.9</v>
      </c>
    </row>
    <row r="89" spans="1:14" x14ac:dyDescent="0.25">
      <c r="A89" s="63">
        <v>1999</v>
      </c>
      <c r="B89" s="65">
        <v>166.6</v>
      </c>
      <c r="C89" s="65">
        <v>164.3</v>
      </c>
      <c r="D89" s="65">
        <v>164.5</v>
      </c>
      <c r="E89" s="65">
        <v>165</v>
      </c>
      <c r="F89" s="65">
        <v>166.2</v>
      </c>
      <c r="G89" s="65">
        <v>166.2</v>
      </c>
      <c r="H89" s="65">
        <v>166.2</v>
      </c>
      <c r="I89" s="65">
        <v>166.7</v>
      </c>
      <c r="J89" s="65">
        <v>167.1</v>
      </c>
      <c r="K89" s="65">
        <v>167.9</v>
      </c>
      <c r="L89" s="65">
        <v>168.2</v>
      </c>
      <c r="M89" s="65">
        <v>168.3</v>
      </c>
      <c r="N89" s="65">
        <v>168.3</v>
      </c>
    </row>
    <row r="90" spans="1:14" x14ac:dyDescent="0.25">
      <c r="A90" s="63">
        <v>2000</v>
      </c>
      <c r="B90" s="65">
        <v>172.2</v>
      </c>
      <c r="C90" s="65">
        <v>168.8</v>
      </c>
      <c r="D90" s="65">
        <v>169.8</v>
      </c>
      <c r="E90" s="65">
        <v>171.2</v>
      </c>
      <c r="F90" s="65">
        <v>171.3</v>
      </c>
      <c r="G90" s="65">
        <v>171.5</v>
      </c>
      <c r="H90" s="65">
        <v>172.4</v>
      </c>
      <c r="I90" s="65">
        <v>172.8</v>
      </c>
      <c r="J90" s="65">
        <v>172.8</v>
      </c>
      <c r="K90" s="65">
        <v>173.7</v>
      </c>
      <c r="L90" s="65">
        <v>174</v>
      </c>
      <c r="M90" s="65">
        <v>174.1</v>
      </c>
      <c r="N90" s="65">
        <v>174</v>
      </c>
    </row>
    <row r="91" spans="1:14" x14ac:dyDescent="0.25">
      <c r="A91" s="63">
        <v>2001</v>
      </c>
      <c r="B91" s="65">
        <v>177.1</v>
      </c>
      <c r="C91" s="65">
        <v>175.1</v>
      </c>
      <c r="D91" s="65">
        <v>175.8</v>
      </c>
      <c r="E91" s="65">
        <v>176.2</v>
      </c>
      <c r="F91" s="65">
        <v>176.9</v>
      </c>
      <c r="G91" s="65">
        <v>177.7</v>
      </c>
      <c r="H91" s="65">
        <v>178</v>
      </c>
      <c r="I91" s="65">
        <v>177.5</v>
      </c>
      <c r="J91" s="65">
        <v>177.5</v>
      </c>
      <c r="K91" s="65">
        <v>178.3</v>
      </c>
      <c r="L91" s="65">
        <v>177.7</v>
      </c>
      <c r="M91" s="65">
        <v>177.4</v>
      </c>
      <c r="N91" s="65">
        <v>176.7</v>
      </c>
    </row>
    <row r="92" spans="1:14" x14ac:dyDescent="0.25">
      <c r="A92" s="63">
        <v>2002</v>
      </c>
      <c r="B92" s="65">
        <v>179.9</v>
      </c>
      <c r="C92" s="65">
        <v>177.1</v>
      </c>
      <c r="D92" s="65">
        <v>177.8</v>
      </c>
      <c r="E92" s="65">
        <v>178.8</v>
      </c>
      <c r="F92" s="65">
        <v>179.8</v>
      </c>
      <c r="G92" s="65">
        <v>179.8</v>
      </c>
      <c r="H92" s="65">
        <v>179.9</v>
      </c>
      <c r="I92" s="65">
        <v>180.1</v>
      </c>
      <c r="J92" s="65">
        <v>180.7</v>
      </c>
      <c r="K92" s="65">
        <v>181</v>
      </c>
      <c r="L92" s="65">
        <v>181.3</v>
      </c>
      <c r="M92" s="65">
        <v>181.3</v>
      </c>
      <c r="N92" s="65">
        <v>180.9</v>
      </c>
    </row>
    <row r="93" spans="1:14" x14ac:dyDescent="0.25">
      <c r="A93" s="63">
        <v>2003</v>
      </c>
      <c r="B93" s="65">
        <v>184</v>
      </c>
      <c r="C93" s="65">
        <v>181.7</v>
      </c>
      <c r="D93" s="65">
        <v>183.1</v>
      </c>
      <c r="E93" s="65">
        <v>184.2</v>
      </c>
      <c r="F93" s="65">
        <v>183.8</v>
      </c>
      <c r="G93" s="65">
        <v>183.5</v>
      </c>
      <c r="H93" s="65">
        <v>183.7</v>
      </c>
      <c r="I93" s="65">
        <v>183.9</v>
      </c>
      <c r="J93" s="65">
        <v>184.6</v>
      </c>
      <c r="K93" s="65">
        <v>185.2</v>
      </c>
      <c r="L93" s="65">
        <v>185</v>
      </c>
      <c r="M93" s="65">
        <v>184.5</v>
      </c>
      <c r="N93" s="65">
        <v>184.3</v>
      </c>
    </row>
    <row r="94" spans="1:14" x14ac:dyDescent="0.25">
      <c r="A94" s="63">
        <v>2004</v>
      </c>
      <c r="B94" s="65">
        <v>188.9</v>
      </c>
      <c r="C94" s="65">
        <v>185.2</v>
      </c>
      <c r="D94" s="65">
        <v>186.2</v>
      </c>
      <c r="E94" s="65">
        <v>187.4</v>
      </c>
      <c r="F94" s="65">
        <v>188</v>
      </c>
      <c r="G94" s="65">
        <v>189.1</v>
      </c>
      <c r="H94" s="65">
        <v>189.7</v>
      </c>
      <c r="I94" s="65">
        <v>189.4</v>
      </c>
      <c r="J94" s="65">
        <v>189.5</v>
      </c>
      <c r="K94" s="65">
        <v>189.9</v>
      </c>
      <c r="L94" s="65">
        <v>190.9</v>
      </c>
      <c r="M94" s="65">
        <v>191</v>
      </c>
      <c r="N94" s="65">
        <v>190.3</v>
      </c>
    </row>
    <row r="95" spans="1:14" x14ac:dyDescent="0.25">
      <c r="A95" s="63">
        <v>2005</v>
      </c>
      <c r="B95" s="65">
        <v>195.3</v>
      </c>
      <c r="C95" s="65">
        <v>190.7</v>
      </c>
      <c r="D95" s="65">
        <v>191.8</v>
      </c>
      <c r="E95" s="65">
        <v>193.3</v>
      </c>
      <c r="F95" s="65">
        <v>194.6</v>
      </c>
      <c r="G95" s="65">
        <v>194.4</v>
      </c>
      <c r="H95" s="65">
        <v>194.5</v>
      </c>
      <c r="I95" s="65">
        <v>195.4</v>
      </c>
      <c r="J95" s="65">
        <v>196.4</v>
      </c>
      <c r="K95" s="65">
        <v>198.8</v>
      </c>
      <c r="L95" s="65">
        <v>199.2</v>
      </c>
      <c r="M95" s="65">
        <v>197.6</v>
      </c>
      <c r="N95" s="65">
        <v>196.8</v>
      </c>
    </row>
    <row r="96" spans="1:14" x14ac:dyDescent="0.25">
      <c r="A96" s="63">
        <v>2006</v>
      </c>
      <c r="B96" s="65">
        <v>201.6</v>
      </c>
      <c r="C96" s="65">
        <v>198.3</v>
      </c>
      <c r="D96" s="65">
        <v>198.7</v>
      </c>
      <c r="E96" s="65">
        <v>199.8</v>
      </c>
      <c r="F96" s="65">
        <v>201.5</v>
      </c>
      <c r="G96" s="65">
        <v>202.5</v>
      </c>
      <c r="H96" s="65">
        <v>202.9</v>
      </c>
      <c r="I96" s="65">
        <v>203.5</v>
      </c>
      <c r="J96" s="65">
        <v>203.9</v>
      </c>
      <c r="K96" s="65">
        <v>202.9</v>
      </c>
      <c r="L96" s="65">
        <v>201.8</v>
      </c>
      <c r="M96" s="65">
        <v>201.5</v>
      </c>
      <c r="N96" s="65">
        <v>201.8</v>
      </c>
    </row>
    <row r="97" spans="1:14" x14ac:dyDescent="0.25">
      <c r="A97" s="63">
        <v>2007</v>
      </c>
      <c r="B97" s="65">
        <v>207.3</v>
      </c>
      <c r="C97" s="65">
        <v>202.4</v>
      </c>
      <c r="D97" s="65">
        <v>203.5</v>
      </c>
      <c r="E97" s="65">
        <v>205.4</v>
      </c>
      <c r="F97" s="65">
        <v>206.7</v>
      </c>
      <c r="G97" s="65">
        <v>207.9</v>
      </c>
      <c r="H97" s="65">
        <v>208.4</v>
      </c>
      <c r="I97" s="65">
        <v>208.3</v>
      </c>
      <c r="J97" s="65">
        <v>207.9</v>
      </c>
      <c r="K97" s="65">
        <v>208.5</v>
      </c>
      <c r="L97" s="65">
        <v>208.9</v>
      </c>
      <c r="M97" s="65">
        <v>210.2</v>
      </c>
      <c r="N97" s="65">
        <v>210</v>
      </c>
    </row>
    <row r="98" spans="1:14" x14ac:dyDescent="0.25">
      <c r="A98" s="63">
        <v>2008</v>
      </c>
      <c r="B98" s="65">
        <v>215.303</v>
      </c>
      <c r="C98" s="65">
        <v>211.1</v>
      </c>
      <c r="D98" s="65">
        <v>211.7</v>
      </c>
      <c r="E98" s="65">
        <v>213.5</v>
      </c>
      <c r="F98" s="65">
        <v>214.8</v>
      </c>
      <c r="G98" s="65">
        <v>216.6</v>
      </c>
      <c r="H98" s="65">
        <v>218.8</v>
      </c>
      <c r="I98" s="65">
        <v>219.964</v>
      </c>
      <c r="J98" s="65">
        <v>219.08600000000001</v>
      </c>
      <c r="K98" s="65">
        <v>218.78299999999999</v>
      </c>
      <c r="L98" s="65">
        <v>216.57300000000001</v>
      </c>
      <c r="M98" s="65">
        <v>212.42500000000001</v>
      </c>
      <c r="N98" s="65">
        <v>210.22800000000001</v>
      </c>
    </row>
    <row r="99" spans="1:14" x14ac:dyDescent="0.25">
      <c r="A99" s="63">
        <v>2009</v>
      </c>
      <c r="B99" s="65">
        <v>214.53700000000001</v>
      </c>
      <c r="C99" s="65">
        <v>211.143</v>
      </c>
      <c r="D99" s="65">
        <v>212.19300000000001</v>
      </c>
      <c r="E99" s="65">
        <v>212.709</v>
      </c>
      <c r="F99" s="65">
        <v>213.24</v>
      </c>
      <c r="G99" s="65">
        <v>213.85599999999999</v>
      </c>
      <c r="H99" s="65">
        <v>215.69300000000001</v>
      </c>
      <c r="I99" s="65">
        <v>215.351</v>
      </c>
      <c r="J99" s="65">
        <v>215.834</v>
      </c>
      <c r="K99" s="65">
        <v>215.96899999999999</v>
      </c>
      <c r="L99" s="65">
        <v>216.17699999999999</v>
      </c>
      <c r="M99" s="65">
        <v>216.33</v>
      </c>
      <c r="N99" s="65">
        <v>215.94900000000001</v>
      </c>
    </row>
    <row r="100" spans="1:14" x14ac:dyDescent="0.25">
      <c r="A100" s="63">
        <v>2010</v>
      </c>
      <c r="B100" s="65">
        <v>218.05600000000001</v>
      </c>
      <c r="C100" s="65">
        <v>216.68700000000001</v>
      </c>
      <c r="D100" s="65">
        <v>216.74100000000001</v>
      </c>
      <c r="E100" s="65">
        <v>217.631</v>
      </c>
      <c r="F100" s="65">
        <v>218.00899999999999</v>
      </c>
      <c r="G100" s="65">
        <v>218.178</v>
      </c>
      <c r="H100" s="65">
        <v>217.965</v>
      </c>
      <c r="I100" s="65">
        <v>218.011</v>
      </c>
      <c r="J100" s="65">
        <v>218.31200000000001</v>
      </c>
      <c r="K100" s="65">
        <v>218.43899999999999</v>
      </c>
      <c r="L100" s="65">
        <v>218.71100000000001</v>
      </c>
      <c r="M100" s="65">
        <v>218.803</v>
      </c>
      <c r="N100" s="65">
        <v>219.179</v>
      </c>
    </row>
    <row r="101" spans="1:14" x14ac:dyDescent="0.25">
      <c r="A101" s="63">
        <v>2011</v>
      </c>
      <c r="B101" s="65">
        <v>224.93899999999999</v>
      </c>
      <c r="C101" s="65">
        <v>220.22300000000001</v>
      </c>
      <c r="D101" s="65">
        <v>221.309</v>
      </c>
      <c r="E101" s="65">
        <v>223.46700000000001</v>
      </c>
      <c r="F101" s="65">
        <v>224.90600000000001</v>
      </c>
      <c r="G101" s="65">
        <v>225.964</v>
      </c>
      <c r="H101" s="65">
        <v>225.72200000000001</v>
      </c>
      <c r="I101" s="65">
        <v>225.922</v>
      </c>
      <c r="J101" s="65">
        <v>226.54499999999999</v>
      </c>
      <c r="K101" s="65">
        <v>226.88900000000001</v>
      </c>
      <c r="L101" s="65">
        <v>226.42099999999999</v>
      </c>
      <c r="M101" s="65">
        <v>226.23</v>
      </c>
      <c r="N101" s="65">
        <v>225.672</v>
      </c>
    </row>
    <row r="102" spans="1:14" x14ac:dyDescent="0.25">
      <c r="A102" s="63">
        <v>2012</v>
      </c>
      <c r="B102" s="65">
        <v>229.59399999999999</v>
      </c>
      <c r="C102" s="65">
        <v>226.655</v>
      </c>
      <c r="D102" s="65">
        <v>227.66300000000001</v>
      </c>
      <c r="E102" s="65">
        <v>229.392</v>
      </c>
      <c r="F102" s="65">
        <v>230.08500000000001</v>
      </c>
      <c r="G102" s="65">
        <v>229.815</v>
      </c>
      <c r="H102" s="65">
        <v>229.47800000000001</v>
      </c>
      <c r="I102" s="65">
        <v>229.10400000000001</v>
      </c>
      <c r="J102" s="65">
        <v>230.37899999999999</v>
      </c>
      <c r="K102" s="65">
        <v>231.40700000000001</v>
      </c>
      <c r="L102" s="65">
        <v>231.31700000000001</v>
      </c>
      <c r="M102" s="65">
        <v>230.221</v>
      </c>
      <c r="N102" s="65">
        <v>229.601</v>
      </c>
    </row>
    <row r="103" spans="1:14" x14ac:dyDescent="0.25">
      <c r="A103" s="63">
        <v>2013</v>
      </c>
      <c r="B103" s="65">
        <v>232.95699999999999</v>
      </c>
      <c r="C103" s="65">
        <v>230.28</v>
      </c>
      <c r="D103" s="65">
        <v>232.166</v>
      </c>
      <c r="E103" s="65">
        <v>232.773</v>
      </c>
      <c r="F103" s="65">
        <v>232.53100000000001</v>
      </c>
      <c r="G103" s="65">
        <v>232.94499999999999</v>
      </c>
      <c r="H103" s="65">
        <v>233.50399999999999</v>
      </c>
      <c r="I103" s="65">
        <v>233.596</v>
      </c>
      <c r="J103" s="65">
        <v>233.87700000000001</v>
      </c>
      <c r="K103" s="65">
        <v>234.149</v>
      </c>
      <c r="L103" s="65">
        <v>233.54599999999999</v>
      </c>
      <c r="M103" s="65">
        <v>233.06899999999999</v>
      </c>
      <c r="N103" s="65">
        <v>233.04900000000001</v>
      </c>
    </row>
    <row r="104" spans="1:14" x14ac:dyDescent="0.25">
      <c r="A104" s="63">
        <v>2014</v>
      </c>
      <c r="B104" s="65">
        <v>236.73599999999999</v>
      </c>
      <c r="C104" s="65">
        <v>233.916</v>
      </c>
      <c r="D104" s="65">
        <v>234.78100000000001</v>
      </c>
      <c r="E104" s="65">
        <v>236.29300000000001</v>
      </c>
      <c r="F104" s="65">
        <v>237.072</v>
      </c>
      <c r="G104" s="65">
        <v>237.9</v>
      </c>
      <c r="H104" s="65">
        <v>238.34299999999999</v>
      </c>
      <c r="I104" s="65">
        <v>238.25</v>
      </c>
      <c r="J104" s="65">
        <v>237.852</v>
      </c>
      <c r="K104" s="65">
        <v>238.03100000000001</v>
      </c>
      <c r="L104" s="65">
        <v>237.43299999999999</v>
      </c>
      <c r="M104" s="65">
        <v>236.15100000000001</v>
      </c>
      <c r="N104" s="65">
        <v>234.81200000000001</v>
      </c>
    </row>
    <row r="105" spans="1:14" x14ac:dyDescent="0.25">
      <c r="A105" s="63">
        <v>2015</v>
      </c>
      <c r="B105" s="65">
        <v>237.017</v>
      </c>
      <c r="C105" s="65">
        <v>233.70699999999999</v>
      </c>
      <c r="D105" s="65">
        <v>234.72200000000001</v>
      </c>
      <c r="E105" s="65">
        <v>236.119</v>
      </c>
      <c r="F105" s="65">
        <v>236.59899999999999</v>
      </c>
      <c r="G105" s="65">
        <v>237.80500000000001</v>
      </c>
      <c r="H105" s="65">
        <v>238.63800000000001</v>
      </c>
      <c r="I105" s="65">
        <v>238.654</v>
      </c>
      <c r="J105" s="65">
        <v>238.316</v>
      </c>
      <c r="K105" s="65">
        <v>237.94499999999999</v>
      </c>
      <c r="L105" s="65">
        <v>237.83799999999999</v>
      </c>
      <c r="M105" s="65">
        <v>237.33600000000001</v>
      </c>
      <c r="N105" s="65">
        <v>236.52500000000001</v>
      </c>
    </row>
    <row r="106" spans="1:14" x14ac:dyDescent="0.25">
      <c r="A106" s="63">
        <v>2016</v>
      </c>
      <c r="B106" s="65">
        <v>240.00700000000001</v>
      </c>
      <c r="C106" s="65">
        <v>236.916</v>
      </c>
      <c r="D106" s="65">
        <v>237.11099999999999</v>
      </c>
      <c r="E106" s="65">
        <v>238.13200000000001</v>
      </c>
      <c r="F106" s="65">
        <v>239.261</v>
      </c>
      <c r="G106" s="65">
        <v>240.23599999999999</v>
      </c>
      <c r="H106" s="65">
        <v>241.03800000000001</v>
      </c>
      <c r="I106" s="65">
        <v>240.64699999999999</v>
      </c>
      <c r="J106" s="65">
        <v>240.85300000000001</v>
      </c>
      <c r="K106" s="65">
        <v>241.428</v>
      </c>
      <c r="L106" s="65">
        <v>241.72900000000001</v>
      </c>
      <c r="M106" s="65">
        <v>241.35300000000001</v>
      </c>
      <c r="N106" s="65">
        <v>241.43199999999999</v>
      </c>
    </row>
    <row r="107" spans="1:14" x14ac:dyDescent="0.25">
      <c r="A107" s="63">
        <v>2017</v>
      </c>
      <c r="B107" s="65">
        <v>245.12</v>
      </c>
      <c r="C107" s="65">
        <v>242.839</v>
      </c>
      <c r="D107" s="65">
        <v>243.60300000000001</v>
      </c>
      <c r="E107" s="65">
        <v>243.80099999999999</v>
      </c>
      <c r="F107" s="65">
        <v>244.524</v>
      </c>
      <c r="G107" s="65">
        <v>244.733</v>
      </c>
      <c r="H107" s="65">
        <v>244.95500000000001</v>
      </c>
      <c r="I107" s="65">
        <v>244.786</v>
      </c>
      <c r="J107" s="65">
        <v>245.51900000000001</v>
      </c>
      <c r="K107" s="65">
        <v>246.81899999999999</v>
      </c>
      <c r="L107" s="65">
        <v>246.66300000000001</v>
      </c>
      <c r="M107" s="65">
        <v>246.66900000000001</v>
      </c>
      <c r="N107" s="65">
        <v>246.524</v>
      </c>
    </row>
    <row r="108" spans="1:14" x14ac:dyDescent="0.25">
      <c r="A108" s="63">
        <v>2018</v>
      </c>
      <c r="B108" s="65">
        <v>251.107</v>
      </c>
      <c r="C108" s="65">
        <v>247.86699999999999</v>
      </c>
      <c r="D108" s="65">
        <v>248.99100000000001</v>
      </c>
      <c r="E108" s="65">
        <v>249.554</v>
      </c>
      <c r="F108" s="65">
        <v>250.54599999999999</v>
      </c>
      <c r="G108" s="65">
        <v>251.58799999999999</v>
      </c>
      <c r="H108" s="65">
        <v>251.989</v>
      </c>
      <c r="I108" s="65">
        <v>252.006</v>
      </c>
      <c r="J108" s="65">
        <v>252.14599999999999</v>
      </c>
      <c r="K108" s="65">
        <v>252.43899999999999</v>
      </c>
      <c r="L108" s="65">
        <v>252.88499999999999</v>
      </c>
      <c r="M108" s="65">
        <v>252.03800000000001</v>
      </c>
      <c r="N108" s="65">
        <v>251.233</v>
      </c>
    </row>
    <row r="109" spans="1:14" x14ac:dyDescent="0.25">
      <c r="A109" s="63">
        <v>2019</v>
      </c>
      <c r="B109" s="65">
        <v>255.65700000000001</v>
      </c>
      <c r="C109" s="65">
        <v>251.71199999999999</v>
      </c>
      <c r="D109" s="65">
        <v>252.77600000000001</v>
      </c>
      <c r="E109" s="65">
        <v>254.202</v>
      </c>
      <c r="F109" s="65">
        <v>255.548</v>
      </c>
      <c r="G109" s="65">
        <v>256.09199999999998</v>
      </c>
      <c r="H109" s="65">
        <v>256.14299999999997</v>
      </c>
      <c r="I109" s="65">
        <v>256.57100000000003</v>
      </c>
      <c r="J109" s="65">
        <v>256.55799999999999</v>
      </c>
      <c r="K109" s="65">
        <v>256.75900000000001</v>
      </c>
      <c r="L109" s="65">
        <v>257.346</v>
      </c>
      <c r="M109" s="65">
        <v>257.20800000000003</v>
      </c>
      <c r="N109" s="65">
        <v>256.97399999999999</v>
      </c>
    </row>
    <row r="110" spans="1:14" x14ac:dyDescent="0.25">
      <c r="A110" s="63">
        <v>2020</v>
      </c>
      <c r="B110" s="65">
        <v>258.81099999999998</v>
      </c>
      <c r="C110" s="65">
        <v>257.971</v>
      </c>
      <c r="D110" s="65">
        <v>258.678</v>
      </c>
      <c r="E110" s="65">
        <v>258.11500000000001</v>
      </c>
      <c r="F110" s="65">
        <v>256.38900000000001</v>
      </c>
      <c r="G110" s="65">
        <v>256.39400000000001</v>
      </c>
      <c r="H110" s="65">
        <v>257.79700000000003</v>
      </c>
      <c r="I110" s="65">
        <v>259.101</v>
      </c>
      <c r="J110" s="65">
        <v>259.91800000000001</v>
      </c>
      <c r="K110" s="65">
        <v>260.27999999999997</v>
      </c>
      <c r="L110" s="65">
        <v>260.38799999999998</v>
      </c>
      <c r="M110" s="65">
        <v>260.22899999999998</v>
      </c>
      <c r="N110" s="65">
        <v>260.47399999999999</v>
      </c>
    </row>
    <row r="111" spans="1:14" x14ac:dyDescent="0.25">
      <c r="A111" s="63">
        <v>2021</v>
      </c>
      <c r="B111" s="65">
        <v>270.97000000000003</v>
      </c>
      <c r="C111" s="65">
        <v>261.58199999999999</v>
      </c>
      <c r="D111" s="65">
        <v>263.01400000000001</v>
      </c>
      <c r="E111" s="65">
        <v>264.87700000000001</v>
      </c>
      <c r="F111" s="65">
        <v>267.05399999999997</v>
      </c>
      <c r="G111" s="65">
        <v>269.19499999999999</v>
      </c>
      <c r="H111" s="65">
        <v>271.69600000000003</v>
      </c>
      <c r="I111" s="65">
        <v>273.00299999999999</v>
      </c>
      <c r="J111" s="65">
        <v>273.56700000000001</v>
      </c>
      <c r="K111" s="65">
        <v>274.31</v>
      </c>
      <c r="L111" s="65">
        <v>276.589</v>
      </c>
      <c r="M111" s="65">
        <v>277.94799999999998</v>
      </c>
      <c r="N111" s="65">
        <v>278.80200000000002</v>
      </c>
    </row>
    <row r="112" spans="1:14" x14ac:dyDescent="0.25">
      <c r="A112" s="63">
        <v>2022</v>
      </c>
      <c r="B112" s="67">
        <f>AVERAGE(C112:J113)</f>
        <v>304.67675000000003</v>
      </c>
      <c r="C112" s="65">
        <v>281.14800000000002</v>
      </c>
      <c r="D112" s="65">
        <v>283.71600000000001</v>
      </c>
      <c r="E112" s="65">
        <v>287.50400000000002</v>
      </c>
      <c r="F112" s="65">
        <v>289.10899999999998</v>
      </c>
      <c r="G112" s="65">
        <v>292.29599999999999</v>
      </c>
      <c r="H112" s="65">
        <v>296.31099999999998</v>
      </c>
      <c r="I112" s="65">
        <v>296.27600000000001</v>
      </c>
      <c r="J112" s="65">
        <v>296.17099999999999</v>
      </c>
      <c r="K112" s="66"/>
      <c r="L112" s="67"/>
      <c r="M112" s="67"/>
      <c r="N112" s="67"/>
    </row>
    <row r="113" spans="1:15" ht="18.75" x14ac:dyDescent="0.25">
      <c r="A113" s="63">
        <v>2028</v>
      </c>
      <c r="B113" s="65">
        <f>AVERAGE(C113:F113)</f>
        <v>333.39749999999998</v>
      </c>
      <c r="C113" s="72">
        <v>336.09</v>
      </c>
      <c r="D113" s="72">
        <v>334.3</v>
      </c>
      <c r="E113" s="72">
        <v>332.49</v>
      </c>
      <c r="F113" s="72">
        <v>330.71</v>
      </c>
      <c r="G113" s="73"/>
      <c r="H113" s="73"/>
      <c r="I113" s="74" t="s">
        <v>2901</v>
      </c>
      <c r="J113" s="72"/>
      <c r="K113" s="72"/>
      <c r="L113" s="66"/>
      <c r="M113" s="67"/>
      <c r="N113" s="67"/>
      <c r="O113" s="67"/>
    </row>
    <row r="114" spans="1:15" ht="18.75" x14ac:dyDescent="0.25">
      <c r="I114" s="72"/>
      <c r="J114" s="72"/>
    </row>
    <row r="115" spans="1:15" ht="18.75" x14ac:dyDescent="0.25">
      <c r="I115" s="72"/>
      <c r="J115" s="72"/>
    </row>
    <row r="116" spans="1:15" ht="18.75" x14ac:dyDescent="0.25">
      <c r="I116" s="72"/>
      <c r="J116" s="72"/>
    </row>
  </sheetData>
  <pageMargins left="0.7" right="0.7" top="0.75" bottom="0.75" header="0.3" footer="0.3"/>
  <pageSetup orientation="portrait" r:id="rId1"/>
</worksheet>
</file>

<file path=xl/worksheets/sheet8.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F09190-81F8-4630-BA13-3A3FCDD8CAAF}">
  <dimension ref="A1:D65"/>
  <sheetViews>
    <sheetView workbookViewId="0">
      <selection activeCell="B66" sqref="B66"/>
    </sheetView>
  </sheetViews>
  <sheetFormatPr defaultColWidth="8.7109375" defaultRowHeight="12.75" x14ac:dyDescent="0.2"/>
  <cols>
    <col min="1" max="16384" width="8.7109375" style="32"/>
  </cols>
  <sheetData>
    <row r="1" spans="1:4" x14ac:dyDescent="0.2">
      <c r="A1" s="31" t="s">
        <v>2884</v>
      </c>
    </row>
    <row r="2" spans="1:4" x14ac:dyDescent="0.2">
      <c r="A2" s="32" t="s">
        <v>2866</v>
      </c>
      <c r="B2" s="32" t="s">
        <v>129</v>
      </c>
      <c r="D2" s="32" t="s">
        <v>2868</v>
      </c>
    </row>
    <row r="3" spans="1:4" x14ac:dyDescent="0.2">
      <c r="A3" s="32">
        <v>1960</v>
      </c>
      <c r="B3" s="32">
        <v>7.1428600061428602</v>
      </c>
    </row>
    <row r="4" spans="1:4" x14ac:dyDescent="0.2">
      <c r="A4" s="32">
        <v>1961</v>
      </c>
      <c r="B4" s="32">
        <v>7.1428600061428602</v>
      </c>
    </row>
    <row r="5" spans="1:4" x14ac:dyDescent="0.2">
      <c r="A5" s="32">
        <v>1962</v>
      </c>
      <c r="B5" s="32">
        <v>7.1428600061428602</v>
      </c>
    </row>
    <row r="6" spans="1:4" x14ac:dyDescent="0.2">
      <c r="A6" s="32">
        <v>1963</v>
      </c>
      <c r="B6" s="32">
        <v>7.1428600061428602</v>
      </c>
    </row>
    <row r="7" spans="1:4" x14ac:dyDescent="0.2">
      <c r="A7" s="32">
        <v>1964</v>
      </c>
      <c r="B7" s="32">
        <v>7.1428600061428602</v>
      </c>
    </row>
    <row r="8" spans="1:4" x14ac:dyDescent="0.2">
      <c r="A8" s="32">
        <v>1965</v>
      </c>
      <c r="B8" s="32">
        <v>7.1428600061428602</v>
      </c>
    </row>
    <row r="9" spans="1:4" x14ac:dyDescent="0.2">
      <c r="A9" s="32">
        <v>1966</v>
      </c>
      <c r="B9" s="32">
        <v>7.1428600061428602</v>
      </c>
    </row>
    <row r="10" spans="1:4" x14ac:dyDescent="0.2">
      <c r="A10" s="32">
        <v>1967</v>
      </c>
      <c r="B10" s="32">
        <v>7.1428600061428602</v>
      </c>
    </row>
    <row r="11" spans="1:4" x14ac:dyDescent="0.2">
      <c r="A11" s="32">
        <v>1968</v>
      </c>
      <c r="B11" s="32">
        <v>7.1428600061428602</v>
      </c>
    </row>
    <row r="12" spans="1:4" x14ac:dyDescent="0.2">
      <c r="A12" s="32">
        <v>1969</v>
      </c>
      <c r="B12" s="32">
        <v>7.1428600061428602</v>
      </c>
    </row>
    <row r="13" spans="1:4" x14ac:dyDescent="0.2">
      <c r="A13" s="32">
        <v>1970</v>
      </c>
      <c r="B13" s="32">
        <v>7.1428600061428602</v>
      </c>
    </row>
    <row r="14" spans="1:4" x14ac:dyDescent="0.2">
      <c r="A14" s="32">
        <v>1971</v>
      </c>
      <c r="B14" s="32">
        <v>7.1428599977626002</v>
      </c>
    </row>
    <row r="15" spans="1:4" x14ac:dyDescent="0.2">
      <c r="A15" s="32">
        <v>1972</v>
      </c>
      <c r="B15" s="32">
        <v>7.1428599989999997</v>
      </c>
    </row>
    <row r="16" spans="1:4" x14ac:dyDescent="0.2">
      <c r="A16" s="32">
        <v>1973</v>
      </c>
      <c r="B16" s="32">
        <v>7.0011916656666697</v>
      </c>
    </row>
    <row r="17" spans="1:2" x14ac:dyDescent="0.2">
      <c r="A17" s="32">
        <v>1974</v>
      </c>
      <c r="B17" s="32">
        <v>7.1428599989999997</v>
      </c>
    </row>
    <row r="18" spans="1:2" x14ac:dyDescent="0.2">
      <c r="A18" s="32">
        <v>1975</v>
      </c>
      <c r="B18" s="32">
        <v>7.34319333233333</v>
      </c>
    </row>
    <row r="19" spans="1:2" x14ac:dyDescent="0.2">
      <c r="A19" s="32">
        <v>1976</v>
      </c>
      <c r="B19" s="32">
        <v>8.3671449991666709</v>
      </c>
    </row>
    <row r="20" spans="1:2" x14ac:dyDescent="0.2">
      <c r="A20" s="32">
        <v>1977</v>
      </c>
      <c r="B20" s="32">
        <v>8.2765608324166706</v>
      </c>
    </row>
    <row r="21" spans="1:2" x14ac:dyDescent="0.2">
      <c r="A21" s="32">
        <v>1978</v>
      </c>
      <c r="B21" s="32">
        <v>7.7293833323333301</v>
      </c>
    </row>
    <row r="22" spans="1:2" x14ac:dyDescent="0.2">
      <c r="A22" s="32">
        <v>1979</v>
      </c>
      <c r="B22" s="32">
        <v>7.4753091656666699</v>
      </c>
    </row>
    <row r="23" spans="1:2" x14ac:dyDescent="0.2">
      <c r="A23" s="32">
        <v>1980</v>
      </c>
      <c r="B23" s="32">
        <v>7.4201874989999999</v>
      </c>
    </row>
    <row r="24" spans="1:2" x14ac:dyDescent="0.2">
      <c r="A24" s="32">
        <v>1981</v>
      </c>
      <c r="B24" s="32">
        <v>9.0474983325833307</v>
      </c>
    </row>
    <row r="25" spans="1:2" x14ac:dyDescent="0.2">
      <c r="A25" s="32">
        <v>1982</v>
      </c>
      <c r="B25" s="32">
        <v>10.9223249994167</v>
      </c>
    </row>
    <row r="26" spans="1:2" x14ac:dyDescent="0.2">
      <c r="A26" s="32">
        <v>1983</v>
      </c>
      <c r="B26" s="32">
        <v>13.311516665916701</v>
      </c>
    </row>
    <row r="27" spans="1:2" x14ac:dyDescent="0.2">
      <c r="A27" s="32">
        <v>1984</v>
      </c>
      <c r="B27" s="32">
        <v>14.4138749994167</v>
      </c>
    </row>
    <row r="28" spans="1:2" x14ac:dyDescent="0.2">
      <c r="A28" s="32">
        <v>1985</v>
      </c>
      <c r="B28" s="32">
        <v>16.432116666500001</v>
      </c>
    </row>
    <row r="29" spans="1:2" x14ac:dyDescent="0.2">
      <c r="A29" s="32">
        <v>1986</v>
      </c>
      <c r="B29" s="32">
        <v>16.225741666499999</v>
      </c>
    </row>
    <row r="30" spans="1:2" x14ac:dyDescent="0.2">
      <c r="A30" s="32">
        <v>1987</v>
      </c>
      <c r="B30" s="32">
        <v>16.454491666666701</v>
      </c>
    </row>
    <row r="31" spans="1:2" x14ac:dyDescent="0.2">
      <c r="A31" s="32">
        <v>1988</v>
      </c>
      <c r="B31" s="32">
        <v>17.7471</v>
      </c>
    </row>
    <row r="32" spans="1:2" x14ac:dyDescent="0.2">
      <c r="A32" s="32">
        <v>1989</v>
      </c>
      <c r="B32" s="32">
        <v>20.572466666666699</v>
      </c>
    </row>
    <row r="33" spans="1:2" x14ac:dyDescent="0.2">
      <c r="A33" s="32">
        <v>1990</v>
      </c>
      <c r="B33" s="32">
        <v>22.914766666666701</v>
      </c>
    </row>
    <row r="34" spans="1:2" x14ac:dyDescent="0.2">
      <c r="A34" s="32">
        <v>1991</v>
      </c>
      <c r="B34" s="32">
        <v>27.5078666666667</v>
      </c>
    </row>
    <row r="35" spans="1:2" x14ac:dyDescent="0.2">
      <c r="A35" s="32">
        <v>1992</v>
      </c>
      <c r="B35" s="32">
        <v>32.216833333333298</v>
      </c>
    </row>
    <row r="36" spans="1:2" x14ac:dyDescent="0.2">
      <c r="A36" s="32">
        <v>1993</v>
      </c>
      <c r="B36" s="32">
        <v>58.001333333333299</v>
      </c>
    </row>
    <row r="37" spans="1:2" x14ac:dyDescent="0.2">
      <c r="A37" s="32">
        <v>1994</v>
      </c>
      <c r="B37" s="32">
        <v>56.050575000000002</v>
      </c>
    </row>
    <row r="38" spans="1:2" x14ac:dyDescent="0.2">
      <c r="A38" s="32">
        <v>1995</v>
      </c>
      <c r="B38" s="32">
        <v>51.429833333333299</v>
      </c>
    </row>
    <row r="39" spans="1:2" x14ac:dyDescent="0.2">
      <c r="A39" s="32">
        <v>1996</v>
      </c>
      <c r="B39" s="32">
        <v>57.1148666666667</v>
      </c>
    </row>
    <row r="40" spans="1:2" x14ac:dyDescent="0.2">
      <c r="A40" s="32">
        <v>1997</v>
      </c>
      <c r="B40" s="32">
        <v>58.731841666666703</v>
      </c>
    </row>
    <row r="41" spans="1:2" x14ac:dyDescent="0.2">
      <c r="A41" s="32">
        <v>1998</v>
      </c>
      <c r="B41" s="32">
        <v>60.366700000000002</v>
      </c>
    </row>
    <row r="42" spans="1:2" x14ac:dyDescent="0.2">
      <c r="A42" s="32">
        <v>1999</v>
      </c>
      <c r="B42" s="32">
        <v>70.326216666666696</v>
      </c>
    </row>
    <row r="43" spans="1:2" x14ac:dyDescent="0.2">
      <c r="A43" s="32">
        <v>2000</v>
      </c>
      <c r="B43" s="32">
        <v>76.175541666666703</v>
      </c>
    </row>
    <row r="44" spans="1:2" x14ac:dyDescent="0.2">
      <c r="A44" s="32">
        <v>2001</v>
      </c>
      <c r="B44" s="32">
        <v>78.563194999999993</v>
      </c>
    </row>
    <row r="45" spans="1:2" x14ac:dyDescent="0.2">
      <c r="A45" s="32">
        <v>2002</v>
      </c>
      <c r="B45" s="32">
        <v>78.749141666666702</v>
      </c>
    </row>
    <row r="46" spans="1:2" x14ac:dyDescent="0.2">
      <c r="A46" s="32">
        <v>2003</v>
      </c>
      <c r="B46" s="32">
        <v>75.935569444444397</v>
      </c>
    </row>
    <row r="47" spans="1:2" x14ac:dyDescent="0.2">
      <c r="A47" s="32">
        <v>2004</v>
      </c>
      <c r="B47" s="32">
        <v>79.173876064213601</v>
      </c>
    </row>
    <row r="48" spans="1:2" x14ac:dyDescent="0.2">
      <c r="A48" s="32">
        <v>2005</v>
      </c>
      <c r="B48" s="32">
        <v>75.554109451431103</v>
      </c>
    </row>
    <row r="49" spans="1:2" x14ac:dyDescent="0.2">
      <c r="A49" s="32">
        <v>2006</v>
      </c>
      <c r="B49" s="32">
        <v>72.100835017862096</v>
      </c>
    </row>
    <row r="50" spans="1:2" x14ac:dyDescent="0.2">
      <c r="A50" s="32">
        <v>2007</v>
      </c>
      <c r="B50" s="32">
        <v>67.317638124285693</v>
      </c>
    </row>
    <row r="51" spans="1:2" x14ac:dyDescent="0.2">
      <c r="A51" s="32">
        <v>2008</v>
      </c>
      <c r="B51" s="32">
        <v>69.175319816225993</v>
      </c>
    </row>
    <row r="52" spans="1:2" x14ac:dyDescent="0.2">
      <c r="A52" s="32">
        <v>2009</v>
      </c>
      <c r="B52" s="32">
        <v>77.352012297578995</v>
      </c>
    </row>
    <row r="53" spans="1:2" x14ac:dyDescent="0.2">
      <c r="A53" s="32">
        <v>2010</v>
      </c>
      <c r="B53" s="32">
        <v>79.233151704545506</v>
      </c>
    </row>
    <row r="54" spans="1:2" x14ac:dyDescent="0.2">
      <c r="A54" s="32">
        <v>2011</v>
      </c>
      <c r="B54" s="32">
        <v>88.810769971045602</v>
      </c>
    </row>
    <row r="55" spans="1:2" x14ac:dyDescent="0.2">
      <c r="A55" s="32">
        <v>2012</v>
      </c>
      <c r="B55" s="32">
        <v>84.529601757352907</v>
      </c>
    </row>
    <row r="56" spans="1:2" x14ac:dyDescent="0.2">
      <c r="A56" s="32">
        <v>2013</v>
      </c>
      <c r="B56" s="32">
        <v>86.122878898265398</v>
      </c>
    </row>
    <row r="57" spans="1:2" x14ac:dyDescent="0.2">
      <c r="A57" s="32">
        <v>2014</v>
      </c>
      <c r="B57" s="32">
        <v>87.922163808972698</v>
      </c>
    </row>
    <row r="58" spans="1:2" x14ac:dyDescent="0.2">
      <c r="A58" s="32">
        <v>2015</v>
      </c>
      <c r="B58" s="32">
        <v>98.178453326527105</v>
      </c>
    </row>
    <row r="59" spans="1:2" x14ac:dyDescent="0.2">
      <c r="A59" s="32">
        <v>2016</v>
      </c>
      <c r="B59" s="32">
        <v>101.504369498594</v>
      </c>
    </row>
    <row r="60" spans="1:2" x14ac:dyDescent="0.2">
      <c r="A60" s="32">
        <v>2017</v>
      </c>
      <c r="B60" s="32">
        <v>103.410004519014</v>
      </c>
    </row>
    <row r="61" spans="1:2" x14ac:dyDescent="0.2">
      <c r="A61" s="32">
        <v>2018</v>
      </c>
      <c r="B61" s="32">
        <v>101.301574049018</v>
      </c>
    </row>
    <row r="62" spans="1:2" x14ac:dyDescent="0.2">
      <c r="A62" s="32">
        <v>2019</v>
      </c>
      <c r="B62" s="32">
        <v>101.99129838935001</v>
      </c>
    </row>
    <row r="63" spans="1:2" x14ac:dyDescent="0.2">
      <c r="A63" s="32">
        <v>2020</v>
      </c>
      <c r="B63" s="32">
        <v>106.45078015851701</v>
      </c>
    </row>
    <row r="64" spans="1:2" x14ac:dyDescent="0.2">
      <c r="A64" s="32">
        <v>2021</v>
      </c>
      <c r="B64" s="32">
        <v>109.63774659236699</v>
      </c>
    </row>
    <row r="65" spans="1:2" x14ac:dyDescent="0.2">
      <c r="A65" s="32">
        <v>2022</v>
      </c>
      <c r="B65" s="32">
        <v>119.447</v>
      </c>
    </row>
  </sheetData>
  <pageMargins left="0.7" right="0.7" top="0.75" bottom="0.75" header="0.3" footer="0.3"/>
</worksheet>
</file>

<file path=xl/worksheets/sheet9.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18A9B7-271C-49E0-8227-EBB56EED41BD}">
  <dimension ref="A1:D65"/>
  <sheetViews>
    <sheetView topLeftCell="A61" workbookViewId="0">
      <selection activeCell="C70" sqref="C70"/>
    </sheetView>
  </sheetViews>
  <sheetFormatPr defaultColWidth="8.7109375" defaultRowHeight="12.75" x14ac:dyDescent="0.2"/>
  <cols>
    <col min="1" max="16384" width="8.7109375" style="32"/>
  </cols>
  <sheetData>
    <row r="1" spans="1:4" x14ac:dyDescent="0.2">
      <c r="A1" s="31" t="s">
        <v>2885</v>
      </c>
    </row>
    <row r="2" spans="1:4" x14ac:dyDescent="0.2">
      <c r="A2" s="32" t="s">
        <v>2866</v>
      </c>
      <c r="B2" s="32" t="s">
        <v>1513</v>
      </c>
      <c r="D2" s="32" t="s">
        <v>2868</v>
      </c>
    </row>
    <row r="3" spans="1:4" x14ac:dyDescent="0.2">
      <c r="A3" s="32">
        <v>1960</v>
      </c>
    </row>
    <row r="4" spans="1:4" x14ac:dyDescent="0.2">
      <c r="A4" s="32">
        <v>1961</v>
      </c>
    </row>
    <row r="5" spans="1:4" x14ac:dyDescent="0.2">
      <c r="A5" s="32">
        <v>1962</v>
      </c>
    </row>
    <row r="6" spans="1:4" x14ac:dyDescent="0.2">
      <c r="A6" s="32">
        <v>1963</v>
      </c>
    </row>
    <row r="7" spans="1:4" x14ac:dyDescent="0.2">
      <c r="A7" s="32">
        <v>1964</v>
      </c>
    </row>
    <row r="8" spans="1:4" x14ac:dyDescent="0.2">
      <c r="A8" s="32">
        <v>1965</v>
      </c>
    </row>
    <row r="9" spans="1:4" x14ac:dyDescent="0.2">
      <c r="A9" s="32">
        <v>1966</v>
      </c>
    </row>
    <row r="10" spans="1:4" x14ac:dyDescent="0.2">
      <c r="A10" s="32">
        <v>1967</v>
      </c>
    </row>
    <row r="11" spans="1:4" x14ac:dyDescent="0.2">
      <c r="A11" s="32">
        <v>1968</v>
      </c>
    </row>
    <row r="12" spans="1:4" x14ac:dyDescent="0.2">
      <c r="A12" s="32">
        <v>1969</v>
      </c>
    </row>
    <row r="13" spans="1:4" x14ac:dyDescent="0.2">
      <c r="A13" s="32">
        <v>1970</v>
      </c>
    </row>
    <row r="14" spans="1:4" x14ac:dyDescent="0.2">
      <c r="A14" s="32">
        <v>1971</v>
      </c>
    </row>
    <row r="15" spans="1:4" x14ac:dyDescent="0.2">
      <c r="A15" s="32">
        <v>1972</v>
      </c>
    </row>
    <row r="16" spans="1:4" x14ac:dyDescent="0.2">
      <c r="A16" s="32">
        <v>1973</v>
      </c>
    </row>
    <row r="17" spans="1:2" x14ac:dyDescent="0.2">
      <c r="A17" s="32">
        <v>1974</v>
      </c>
    </row>
    <row r="18" spans="1:2" x14ac:dyDescent="0.2">
      <c r="A18" s="32">
        <v>1975</v>
      </c>
    </row>
    <row r="19" spans="1:2" x14ac:dyDescent="0.2">
      <c r="A19" s="32">
        <v>1976</v>
      </c>
    </row>
    <row r="20" spans="1:2" x14ac:dyDescent="0.2">
      <c r="A20" s="32">
        <v>1977</v>
      </c>
    </row>
    <row r="21" spans="1:2" x14ac:dyDescent="0.2">
      <c r="A21" s="32">
        <v>1978</v>
      </c>
    </row>
    <row r="22" spans="1:2" x14ac:dyDescent="0.2">
      <c r="A22" s="32">
        <v>1979</v>
      </c>
    </row>
    <row r="23" spans="1:2" x14ac:dyDescent="0.2">
      <c r="A23" s="32">
        <v>1980</v>
      </c>
    </row>
    <row r="24" spans="1:2" x14ac:dyDescent="0.2">
      <c r="A24" s="32">
        <v>1981</v>
      </c>
    </row>
    <row r="25" spans="1:2" x14ac:dyDescent="0.2">
      <c r="A25" s="32">
        <v>1982</v>
      </c>
    </row>
    <row r="26" spans="1:2" x14ac:dyDescent="0.2">
      <c r="A26" s="32">
        <v>1983</v>
      </c>
      <c r="B26" s="32">
        <v>1.0017709226849301</v>
      </c>
    </row>
    <row r="27" spans="1:2" x14ac:dyDescent="0.2">
      <c r="A27" s="32">
        <v>1984</v>
      </c>
    </row>
    <row r="28" spans="1:2" x14ac:dyDescent="0.2">
      <c r="A28" s="32">
        <v>1985</v>
      </c>
    </row>
    <row r="29" spans="1:2" x14ac:dyDescent="0.2">
      <c r="A29" s="32">
        <v>1986</v>
      </c>
      <c r="B29" s="32">
        <v>22.936728260869501</v>
      </c>
    </row>
    <row r="30" spans="1:2" x14ac:dyDescent="0.2">
      <c r="A30" s="32">
        <v>1987</v>
      </c>
      <c r="B30" s="32">
        <v>78.953315724637505</v>
      </c>
    </row>
    <row r="31" spans="1:2" x14ac:dyDescent="0.2">
      <c r="A31" s="32">
        <v>1988</v>
      </c>
      <c r="B31" s="32">
        <v>611.64608695652203</v>
      </c>
    </row>
    <row r="32" spans="1:2" x14ac:dyDescent="0.2">
      <c r="A32" s="32">
        <v>1989</v>
      </c>
      <c r="B32" s="32">
        <v>4501.6865290896703</v>
      </c>
    </row>
    <row r="33" spans="1:2" x14ac:dyDescent="0.2">
      <c r="A33" s="32">
        <v>1990</v>
      </c>
      <c r="B33" s="32">
        <v>6537.6046856884004</v>
      </c>
    </row>
    <row r="34" spans="1:2" x14ac:dyDescent="0.2">
      <c r="A34" s="32">
        <v>1991</v>
      </c>
      <c r="B34" s="32">
        <v>10121.8932306763</v>
      </c>
    </row>
    <row r="35" spans="1:2" x14ac:dyDescent="0.2">
      <c r="A35" s="32">
        <v>1992</v>
      </c>
      <c r="B35" s="32">
        <v>11202.1916666667</v>
      </c>
    </row>
    <row r="36" spans="1:2" x14ac:dyDescent="0.2">
      <c r="A36" s="32">
        <v>1993</v>
      </c>
      <c r="B36" s="32">
        <v>10640.958333333299</v>
      </c>
    </row>
    <row r="37" spans="1:2" x14ac:dyDescent="0.2">
      <c r="A37" s="32">
        <v>1994</v>
      </c>
      <c r="B37" s="32">
        <v>10965.666666666701</v>
      </c>
    </row>
    <row r="38" spans="1:2" x14ac:dyDescent="0.2">
      <c r="A38" s="32">
        <v>1995</v>
      </c>
      <c r="B38" s="32">
        <v>11038.25</v>
      </c>
    </row>
    <row r="39" spans="1:2" x14ac:dyDescent="0.2">
      <c r="A39" s="32">
        <v>1996</v>
      </c>
      <c r="B39" s="32">
        <v>11032.583333333299</v>
      </c>
    </row>
    <row r="40" spans="1:2" x14ac:dyDescent="0.2">
      <c r="A40" s="32">
        <v>1997</v>
      </c>
      <c r="B40" s="32">
        <v>11683.333333333299</v>
      </c>
    </row>
    <row r="41" spans="1:2" x14ac:dyDescent="0.2">
      <c r="A41" s="32">
        <v>1998</v>
      </c>
      <c r="B41" s="32">
        <v>13268</v>
      </c>
    </row>
    <row r="42" spans="1:2" x14ac:dyDescent="0.2">
      <c r="A42" s="32">
        <v>1999</v>
      </c>
      <c r="B42" s="32">
        <v>13943.166666666701</v>
      </c>
    </row>
    <row r="43" spans="1:2" x14ac:dyDescent="0.2">
      <c r="A43" s="32">
        <v>2000</v>
      </c>
      <c r="B43" s="32">
        <v>14167.75</v>
      </c>
    </row>
    <row r="44" spans="1:2" x14ac:dyDescent="0.2">
      <c r="A44" s="32">
        <v>2001</v>
      </c>
      <c r="B44" s="32">
        <v>14725.166666666701</v>
      </c>
    </row>
    <row r="45" spans="1:2" x14ac:dyDescent="0.2">
      <c r="A45" s="32">
        <v>2002</v>
      </c>
      <c r="B45" s="32">
        <v>15279.5</v>
      </c>
    </row>
    <row r="46" spans="1:2" x14ac:dyDescent="0.2">
      <c r="A46" s="32">
        <v>2003</v>
      </c>
      <c r="B46" s="32">
        <v>15509.583333333299</v>
      </c>
    </row>
    <row r="47" spans="1:2" x14ac:dyDescent="0.2">
      <c r="A47" s="32">
        <v>2004</v>
      </c>
      <c r="B47" s="32">
        <v>15746</v>
      </c>
    </row>
    <row r="48" spans="1:2" x14ac:dyDescent="0.2">
      <c r="A48" s="32">
        <v>2005</v>
      </c>
      <c r="B48" s="32">
        <v>15858.916666666701</v>
      </c>
    </row>
    <row r="49" spans="1:2" x14ac:dyDescent="0.2">
      <c r="A49" s="32">
        <v>2006</v>
      </c>
      <c r="B49" s="32">
        <v>15994.25</v>
      </c>
    </row>
    <row r="50" spans="1:2" x14ac:dyDescent="0.2">
      <c r="A50" s="32">
        <v>2007</v>
      </c>
      <c r="B50" s="32">
        <v>16105.125</v>
      </c>
    </row>
    <row r="51" spans="1:2" x14ac:dyDescent="0.2">
      <c r="A51" s="32">
        <v>2008</v>
      </c>
      <c r="B51" s="32">
        <v>16302.25</v>
      </c>
    </row>
    <row r="52" spans="1:2" x14ac:dyDescent="0.2">
      <c r="A52" s="32">
        <v>2009</v>
      </c>
      <c r="B52" s="32">
        <v>17065.083333333299</v>
      </c>
    </row>
    <row r="53" spans="1:2" x14ac:dyDescent="0.2">
      <c r="A53" s="32">
        <v>2010</v>
      </c>
      <c r="B53" s="32">
        <v>18612.916666666701</v>
      </c>
    </row>
    <row r="54" spans="1:2" x14ac:dyDescent="0.2">
      <c r="A54" s="32">
        <v>2011</v>
      </c>
      <c r="B54" s="32">
        <v>20509.75</v>
      </c>
    </row>
    <row r="55" spans="1:2" x14ac:dyDescent="0.2">
      <c r="A55" s="32">
        <v>2012</v>
      </c>
      <c r="B55" s="32">
        <v>20828</v>
      </c>
    </row>
    <row r="56" spans="1:2" x14ac:dyDescent="0.2">
      <c r="A56" s="32">
        <v>2013</v>
      </c>
      <c r="B56" s="32">
        <v>20933.416666666701</v>
      </c>
    </row>
    <row r="57" spans="1:2" x14ac:dyDescent="0.2">
      <c r="A57" s="32">
        <v>2014</v>
      </c>
      <c r="B57" s="32">
        <v>21148</v>
      </c>
    </row>
    <row r="58" spans="1:2" x14ac:dyDescent="0.2">
      <c r="A58" s="32">
        <v>2015</v>
      </c>
      <c r="B58" s="32">
        <v>21697.567500000001</v>
      </c>
    </row>
    <row r="59" spans="1:2" x14ac:dyDescent="0.2">
      <c r="A59" s="32">
        <v>2016</v>
      </c>
      <c r="B59" s="32">
        <v>21935.000833333299</v>
      </c>
    </row>
    <row r="60" spans="1:2" x14ac:dyDescent="0.2">
      <c r="A60" s="32">
        <v>2017</v>
      </c>
      <c r="B60" s="32">
        <v>22370.086666666699</v>
      </c>
    </row>
    <row r="61" spans="1:2" x14ac:dyDescent="0.2">
      <c r="A61" s="32">
        <v>2018</v>
      </c>
      <c r="B61" s="32">
        <v>22602.05</v>
      </c>
    </row>
    <row r="62" spans="1:2" x14ac:dyDescent="0.2">
      <c r="A62" s="32">
        <v>2019</v>
      </c>
      <c r="B62" s="32">
        <v>23050.241666666701</v>
      </c>
    </row>
    <row r="63" spans="1:2" x14ac:dyDescent="0.2">
      <c r="A63" s="32">
        <v>2020</v>
      </c>
      <c r="B63" s="32">
        <v>23208.368333333299</v>
      </c>
    </row>
    <row r="64" spans="1:2" x14ac:dyDescent="0.2">
      <c r="A64" s="32">
        <v>2021</v>
      </c>
      <c r="B64" s="32">
        <v>23159.782592592601</v>
      </c>
    </row>
    <row r="65" spans="1:2" x14ac:dyDescent="0.2">
      <c r="A65" s="32">
        <v>2022</v>
      </c>
      <c r="B65" s="57">
        <v>23190.406999999999</v>
      </c>
    </row>
  </sheetData>
  <pageMargins left="0.7" right="0.7" top="0.75" bottom="0.75" header="0.3" footer="0.3"/>
</worksheet>
</file>

<file path=docProps/app.xml><?xml version="1.0" encoding="utf-8"?>
<Properties xmlns="http://purl.oclc.org/ooxml/officeDocument/extendedProperties" xmlns:vt="http://purl.oclc.org/ooxml/officeDocument/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Validation</vt:lpstr>
      <vt:lpstr>Data</vt:lpstr>
      <vt:lpstr>Ecosystem Subservices Values</vt:lpstr>
      <vt:lpstr>Ecosystem Services Values</vt:lpstr>
      <vt:lpstr>Number of Observations ESS</vt:lpstr>
      <vt:lpstr>Number of Observations ES</vt:lpstr>
      <vt:lpstr>CPI</vt:lpstr>
      <vt:lpstr>Exchange rate-Kenya</vt:lpstr>
      <vt:lpstr>Exchange rate- Vietnam</vt:lpstr>
      <vt:lpstr>Variables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yibin xiang</dc:creator>
  <cp:lastModifiedBy>KDAVIS</cp:lastModifiedBy>
  <dcterms:created xsi:type="dcterms:W3CDTF">2011-03-01T18:29:33Z</dcterms:created>
  <dcterms:modified xsi:type="dcterms:W3CDTF">2022-10-13T10:52:05Z</dcterms:modified>
</cp:coreProperties>
</file>